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9m4cjPvXhuLq1l5Wmz9WdTQXp4/2utl0ijWqR+3uEN0KN6xvXtUofFyFj8gCrQggtkrcYXReENXHlhmYxjG+ag==" workbookSaltValue="0Jd2CyCn+pv+IqXZuSm5H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M23" i="2"/>
  <c r="K30" i="2"/>
  <c r="F30" i="17"/>
  <c r="F26" i="17"/>
  <c r="F14" i="7"/>
  <c r="T14" i="20"/>
  <c r="BB26" i="13"/>
  <c r="BD9" i="8"/>
  <c r="AH14" i="16"/>
  <c r="AO14" i="21"/>
  <c r="AP14" i="16"/>
  <c r="F11" i="16"/>
  <c r="BL11" i="16" s="1"/>
  <c r="T23" i="17"/>
  <c r="T26" i="17" s="1"/>
  <c r="T30" i="17" s="1"/>
  <c r="U26" i="16"/>
  <c r="BG16" i="13"/>
  <c r="BE17" i="13"/>
  <c r="BF17" i="13"/>
  <c r="E32" i="20"/>
  <c r="M32" i="20"/>
  <c r="AI32" i="20"/>
  <c r="U10" i="11"/>
  <c r="J32" i="20"/>
  <c r="AK32" i="20"/>
  <c r="U12" i="11"/>
  <c r="AU32" i="20"/>
  <c r="G14" i="14"/>
  <c r="W32" i="20"/>
  <c r="AJ32" i="20"/>
  <c r="G30" i="14"/>
  <c r="G23" i="14"/>
  <c r="U18" i="11"/>
  <c r="AX32" i="20"/>
  <c r="Y32" i="20"/>
  <c r="L32" i="20"/>
  <c r="AG32" i="20"/>
  <c r="H32" i="20"/>
  <c r="T32" i="21"/>
  <c r="F32" i="20"/>
  <c r="AF32" i="20"/>
  <c r="G26" i="14"/>
  <c r="S32" i="20"/>
  <c r="K32" i="20"/>
  <c r="AQ32" i="21"/>
  <c r="O17" i="11"/>
  <c r="AM32" i="20"/>
  <c r="I32" i="20"/>
  <c r="Q32" i="20"/>
  <c r="AE32" i="20"/>
  <c r="AZ32" i="20"/>
  <c r="O18" i="11"/>
  <c r="R32" i="20"/>
  <c r="BF17" i="8" l="1"/>
  <c r="F28" i="2"/>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BF23" i="13"/>
  <c r="BL9" i="11"/>
  <c r="BH21" i="16"/>
  <c r="BF11" i="11"/>
  <c r="X12" i="21"/>
  <c r="T28" i="11"/>
  <c r="T19" i="11"/>
  <c r="R28" i="14"/>
  <c r="R18" i="14"/>
  <c r="S28" i="14"/>
  <c r="V28" i="14" s="1"/>
  <c r="S21" i="14"/>
  <c r="V21" i="14" s="1"/>
  <c r="AP17" i="20"/>
  <c r="BL19" i="11"/>
  <c r="BJ22" i="11"/>
  <c r="BJ18" i="11"/>
  <c r="BG10" i="11"/>
  <c r="BM17" i="11"/>
  <c r="V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S31" i="16" s="1"/>
  <c r="P16" i="17"/>
  <c r="P23" i="17" s="1"/>
  <c r="P31" i="17" s="1"/>
  <c r="BL20" i="11"/>
  <c r="BF12" i="11"/>
  <c r="BL16" i="11"/>
  <c r="BH25" i="16"/>
  <c r="BH21" i="11"/>
  <c r="BK20" i="11"/>
  <c r="AZ25" i="11"/>
  <c r="AZ30" i="11" s="1"/>
  <c r="BJ10" i="11"/>
  <c r="BK17" i="11"/>
  <c r="Q16" i="17"/>
  <c r="BM18" i="11"/>
  <c r="BF16" i="11"/>
  <c r="BH17" i="11"/>
  <c r="BL22" i="11"/>
  <c r="AQ12" i="21"/>
  <c r="BI22" i="11"/>
  <c r="BF21" i="11"/>
  <c r="BF17" i="11"/>
  <c r="BL12" i="11"/>
  <c r="BK21" i="11"/>
  <c r="BI25" i="11"/>
  <c r="V13" i="11"/>
  <c r="BI19" i="11"/>
  <c r="AP22" i="20"/>
  <c r="BG16" i="11"/>
  <c r="BH13" i="11"/>
  <c r="BL13" i="1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S16" i="17"/>
  <c r="L12" i="2"/>
  <c r="X10" i="21"/>
  <c r="V10" i="16"/>
  <c r="X13"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AA11" i="16"/>
  <c r="L9" i="2"/>
  <c r="V25" i="16"/>
  <c r="BJ17" i="11"/>
  <c r="BK22" i="11"/>
  <c r="BL17" i="11"/>
  <c r="BH22" i="11"/>
  <c r="X12" i="17"/>
  <c r="L22" i="2"/>
  <c r="X22" i="16"/>
  <c r="S17" i="17"/>
  <c r="X19" i="16"/>
  <c r="L20" i="2"/>
  <c r="U9" i="17"/>
  <c r="U31" i="17" s="1"/>
  <c r="V9" i="16"/>
  <c r="T22" i="11"/>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A31" i="11"/>
  <c r="AZ26" i="1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<sst xmlns="http://schemas.openxmlformats.org/spreadsheetml/2006/main" count="2682" uniqueCount="1193">
  <si>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</si>
  <si>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</si>
  <si>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</si>
  <si>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</si>
  <si>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</si>
  <si>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</si>
  <si>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</si>
  <si>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</si>
  <si>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</si>
  <si>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</si>
  <si>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</si>
  <si>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</si>
  <si>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</si>
  <si>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</si>
  <si>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</si>
  <si>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</si>
  <si>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</si>
  <si>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</si>
  <si>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</si>
  <si>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</si>
  <si>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</si>
  <si>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</si>
  <si>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</si>
  <si>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</si>
  <si>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</si>
  <si>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</si>
  <si>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</si>
  <si>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</si>
  <si>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</si>
  <si>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</si>
  <si>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</si>
  <si>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</si>
  <si>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</si>
  <si>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</si>
  <si>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</si>
  <si>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</si>
  <si>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</si>
  <si>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</si>
  <si>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</si>
  <si>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</si>
  <si>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</si>
  <si>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</si>
  <si>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</si>
  <si>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</si>
  <si>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</si>
  <si>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</si>
  <si>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</si>
  <si>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</si>
  <si>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</si>
  <si>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</si>
  <si>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</si>
  <si>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</si>
  <si>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</si>
  <si>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</si>
  <si>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</si>
  <si>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</si>
  <si>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</si>
  <si>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</si>
  <si>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</si>
  <si>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</si>
  <si>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</si>
  <si>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</si>
  <si>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</si>
  <si>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</si>
  <si>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</si>
  <si>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</si>
  <si>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</si>
  <si>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</si>
  <si>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</si>
  <si>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</si>
  <si>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</si>
  <si>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</si>
  <si>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</si>
  <si>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</si>
  <si>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</si>
  <si>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</si>
  <si>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</si>
  <si>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</si>
  <si>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</si>
  <si>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</si>
  <si>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</si>
  <si>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</si>
  <si>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</si>
  <si>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</si>
  <si>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</si>
  <si>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</si>
  <si>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</si>
  <si>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</si>
  <si>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</si>
  <si>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</si>
  <si>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</si>
  <si>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</si>
  <si>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</si>
  <si>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</si>
  <si>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</si>
  <si>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</si>
  <si>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</si>
  <si>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</si>
  <si>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</si>
  <si>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</si>
  <si>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</si>
  <si>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</si>
  <si>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</si>
  <si>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</si>
  <si>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</si>
  <si>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</si>
  <si>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</si>
  <si>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</si>
  <si>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</si>
  <si>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</si>
  <si>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</si>
  <si>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</si>
  <si>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</si>
  <si>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</si>
  <si>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</si>
  <si>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</si>
  <si>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</si>
  <si>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</si>
  <si>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</si>
  <si>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</si>
  <si>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</si>
  <si>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</si>
  <si>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</si>
  <si>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</si>
  <si>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</si>
  <si>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</si>
  <si>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</si>
  <si>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</si>
  <si>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</si>
  <si>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</si>
  <si>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</si>
  <si>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</si>
  <si>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</si>
  <si>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</si>
  <si>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</si>
  <si>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</si>
  <si>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</si>
  <si>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</si>
  <si>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</si>
  <si>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</si>
  <si>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</si>
  <si>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</si>
  <si>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</si>
  <si>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</si>
  <si>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</si>
  <si>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</si>
  <si>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</si>
  <si>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</si>
  <si>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</si>
  <si>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</si>
  <si>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</si>
  <si>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</si>
  <si>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</si>
  <si>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</si>
  <si>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</si>
  <si>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</si>
  <si>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</si>
  <si>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</si>
  <si>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</si>
  <si>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</si>
  <si>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</si>
  <si>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</si>
  <si>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</si>
  <si>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</si>
  <si>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</si>
  <si>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</si>
  <si>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</si>
  <si>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</si>
  <si>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</si>
  <si>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</si>
  <si>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</si>
  <si>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</si>
  <si>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</si>
  <si>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</si>
  <si>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</si>
  <si>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</si>
  <si>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</si>
  <si>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</si>
  <si>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</si>
  <si>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</si>
  <si>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</si>
  <si>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</si>
  <si>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</si>
  <si>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</si>
  <si>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</si>
  <si>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</si>
  <si>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</si>
  <si>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</si>
  <si>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</si>
  <si>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</si>
  <si>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</si>
  <si>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</si>
  <si>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</si>
  <si>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</si>
  <si>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</si>
  <si>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</si>
  <si>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</si>
  <si>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</si>
  <si>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</si>
  <si>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</si>
  <si>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</si>
  <si>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</si>
  <si>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</si>
  <si>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</si>
  <si>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</si>
  <si>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</si>
  <si>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</si>
  <si>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</si>
  <si>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</si>
  <si>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</si>
  <si>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</si>
  <si>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</si>
  <si>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</si>
  <si>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</si>
  <si>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</si>
  <si>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</si>
  <si>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</si>
  <si>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</si>
  <si>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</si>
  <si>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</si>
  <si>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</si>
  <si>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</si>
  <si>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</si>
  <si>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</si>
  <si>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</si>
  <si>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</si>
  <si>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</si>
  <si>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</si>
  <si>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</si>
  <si>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</si>
  <si>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</si>
  <si>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</si>
  <si>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</si>
  <si>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</si>
  <si>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</si>
  <si>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</si>
  <si>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</si>
  <si>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</si>
  <si>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</si>
  <si>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</si>
  <si>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</si>
  <si>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</si>
  <si>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</si>
  <si>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</si>
  <si>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</si>
  <si>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</si>
  <si>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</si>
  <si>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</si>
  <si>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</si>
  <si>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</si>
  <si>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</si>
  <si>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</si>
  <si>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</si>
  <si>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</si>
  <si>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</si>
  <si>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</si>
  <si>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</si>
  <si>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</si>
  <si>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</si>
  <si>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</si>
  <si>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</si>
  <si>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</si>
  <si>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</si>
  <si>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</si>
  <si>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</si>
  <si>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</si>
  <si>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</si>
  <si>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</si>
  <si>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</si>
  <si>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</si>
  <si>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</si>
  <si>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</si>
  <si>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</si>
  <si>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</si>
  <si>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</si>
  <si>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</si>
  <si>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</si>
  <si>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</si>
  <si>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</si>
  <si>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</si>
  <si>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</si>
  <si>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</si>
  <si>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</si>
  <si>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</si>
  <si>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</si>
  <si>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</si>
  <si>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</si>
  <si>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</si>
  <si>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</si>
  <si>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</si>
  <si>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</si>
  <si>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</si>
  <si>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</si>
  <si>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</si>
  <si>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</si>
  <si>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</si>
  <si>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</si>
  <si>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</si>
  <si>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</si>
  <si>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</si>
  <si>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</si>
  <si>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</si>
  <si>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</si>
  <si>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</si>
  <si>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</si>
  <si>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</si>
  <si>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</si>
  <si>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</si>
  <si>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</si>
  <si>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</si>
  <si>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</si>
  <si>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</si>
  <si>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</si>
  <si>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</si>
  <si>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</si>
  <si>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</si>
  <si>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</si>
  <si>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</si>
  <si>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</si>
  <si>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</si>
  <si>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</si>
  <si>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</si>
  <si>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</si>
  <si>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</si>
  <si>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</si>
  <si>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</si>
  <si>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</si>
  <si>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</si>
  <si>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</si>
  <si>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</si>
  <si>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</si>
  <si>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</si>
  <si>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</si>
  <si>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</si>
  <si>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</si>
  <si>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</si>
  <si>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</si>
  <si>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</si>
  <si>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</si>
  <si>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</si>
  <si>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</si>
  <si>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</si>
  <si>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</si>
  <si>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</si>
  <si>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</si>
  <si>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</si>
  <si>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</si>
  <si>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</si>
  <si>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</si>
  <si>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</si>
  <si>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</si>
  <si>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</si>
  <si>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</si>
  <si>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</si>
  <si>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</si>
  <si>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</si>
  <si>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</si>
  <si>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</si>
  <si>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</si>
  <si>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</si>
  <si>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</si>
  <si>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</si>
  <si>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</si>
  <si>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</si>
  <si>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</si>
  <si>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</si>
  <si>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</si>
  <si>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</si>
  <si>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</si>
  <si>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</si>
  <si>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</si>
  <si>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</si>
  <si>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</si>
  <si>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</si>
  <si>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</si>
  <si>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</si>
  <si>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</si>
  <si>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</si>
  <si>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</si>
  <si>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</si>
  <si>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</si>
  <si>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</si>
  <si>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</si>
  <si>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</si>
  <si>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</si>
  <si>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</si>
  <si>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</si>
  <si>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</si>
  <si>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</si>
  <si>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</si>
  <si>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</si>
  <si>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</si>
  <si>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</si>
  <si>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</si>
  <si>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</si>
  <si>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</si>
  <si>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</si>
  <si>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</si>
  <si>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</si>
  <si>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</si>
  <si>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</si>
  <si>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</si>
  <si>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</si>
  <si>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</si>
  <si>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</si>
  <si>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</si>
  <si>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</si>
  <si>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</si>
  <si>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</si>
  <si>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</si>
  <si>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</si>
  <si>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</si>
  <si>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</si>
  <si>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</si>
  <si>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</si>
  <si>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</si>
  <si>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</si>
  <si>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</si>
  <si>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</si>
  <si>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</si>
  <si>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</si>
  <si>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</si>
  <si>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</si>
  <si>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</si>
  <si>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</si>
  <si>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</si>
  <si>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</si>
  <si>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</si>
  <si>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</si>
  <si>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</si>
  <si>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</si>
  <si>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</si>
  <si>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</si>
  <si>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</si>
  <si>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</si>
  <si>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</si>
  <si>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</si>
  <si>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</si>
  <si>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</si>
  <si>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</si>
  <si>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</si>
  <si>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</si>
  <si>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</si>
  <si>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</si>
  <si>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</si>
  <si>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</si>
  <si>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</si>
  <si>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</si>
  <si>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</si>
  <si>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</si>
  <si>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</si>
  <si>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</si>
  <si>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</si>
  <si>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</si>
  <si>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</si>
  <si>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</si>
  <si>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</si>
  <si>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</si>
  <si>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</si>
  <si>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</si>
  <si>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</si>
  <si>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</si>
  <si>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</si>
  <si>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</si>
  <si>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</si>
  <si>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</si>
  <si>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</si>
  <si>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</si>
  <si>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</si>
  <si>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</si>
  <si>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</si>
  <si>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</si>
  <si>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</si>
  <si>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</si>
  <si>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</si>
  <si>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</si>
  <si>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</si>
  <si>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</si>
  <si>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</si>
  <si>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</si>
  <si>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</si>
  <si>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</si>
  <si>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</si>
  <si>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</si>
  <si>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</si>
  <si>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</si>
  <si>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</si>
  <si>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</si>
  <si>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</si>
  <si>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</si>
  <si>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</si>
  <si>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</si>
  <si>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</si>
  <si>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</si>
  <si>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</si>
  <si>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</si>
  <si>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</si>
  <si>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</si>
  <si>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</si>
  <si>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</si>
  <si>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</si>
  <si>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</si>
  <si>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</si>
  <si>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</si>
  <si>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</si>
  <si>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</si>
  <si>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</si>
  <si>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</si>
  <si>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</si>
  <si>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</si>
  <si>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</si>
  <si>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</si>
  <si>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</si>
  <si>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</si>
  <si>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</si>
  <si>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</si>
  <si>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</si>
  <si>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</si>
  <si>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</si>
  <si>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</si>
  <si>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</si>
  <si>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</si>
  <si>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</si>
  <si>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</si>
  <si>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</si>
  <si>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</si>
  <si>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</si>
  <si>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</si>
  <si>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</si>
  <si>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</si>
  <si>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</si>
  <si>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</si>
  <si>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</si>
  <si>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</si>
  <si>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</si>
  <si>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</si>
  <si>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</si>
  <si>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</si>
  <si>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</si>
  <si>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</si>
  <si>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</si>
  <si>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</si>
  <si>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</si>
  <si>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</si>
  <si>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</si>
  <si>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</si>
  <si>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</si>
  <si>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</si>
  <si>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</si>
  <si>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</si>
  <si>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</si>
  <si>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</si>
  <si>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</si>
  <si>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</si>
  <si>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</si>
  <si>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</si>
  <si>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</si>
  <si>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</si>
  <si>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</si>
  <si>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</si>
  <si>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</si>
  <si>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</si>
  <si>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</si>
  <si>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</si>
  <si>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</si>
  <si>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</si>
  <si>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</si>
  <si>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</si>
  <si>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</si>
  <si>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</si>
  <si>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</si>
  <si>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</si>
  <si>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</si>
  <si>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</si>
  <si>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</si>
  <si>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</si>
  <si>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</si>
  <si>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</si>
  <si>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</si>
  <si>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</si>
  <si>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</si>
  <si>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</si>
  <si>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</si>
  <si>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</si>
  <si>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</si>
  <si>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</si>
  <si>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</si>
  <si>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</si>
  <si>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</si>
  <si>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</si>
  <si>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</si>
  <si>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</si>
  <si>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</si>
  <si>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</si>
  <si>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</si>
  <si>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</si>
  <si>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</si>
  <si>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</si>
  <si>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</si>
  <si>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</si>
  <si>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</si>
  <si>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</si>
  <si>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</si>
  <si>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</si>
  <si>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</si>
  <si>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</si>
  <si>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</si>
  <si>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</si>
  <si>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</si>
  <si>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</si>
  <si>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</si>
  <si>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</si>
  <si>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</si>
  <si>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</si>
  <si>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</si>
  <si>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</si>
  <si>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</si>
  <si>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</si>
  <si>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</si>
  <si>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</si>
  <si>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</si>
  <si>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</si>
  <si>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</si>
  <si>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</si>
  <si>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</si>
  <si>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</si>
  <si>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</si>
  <si>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</si>
  <si>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</si>
  <si>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</si>
  <si>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</si>
  <si>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</si>
  <si>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</si>
  <si>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</si>
  <si>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</si>
  <si>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</si>
  <si>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</si>
  <si>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</si>
  <si>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</si>
  <si>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</si>
  <si>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</si>
  <si>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</si>
  <si>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</si>
  <si>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</si>
  <si>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</si>
  <si>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</si>
  <si>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</si>
  <si>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</si>
  <si>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</si>
  <si>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</si>
  <si>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</si>
  <si>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</si>
  <si>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</si>
  <si>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</si>
  <si>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</si>
  <si>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</si>
  <si>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</si>
  <si>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</si>
  <si>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</si>
  <si>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</si>
  <si>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</si>
  <si>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</si>
  <si>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</si>
  <si>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</si>
  <si>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</si>
  <si>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</si>
  <si>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</si>
  <si>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</si>
  <si>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</si>
  <si>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</si>
  <si>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</si>
  <si>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</si>
  <si>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</si>
  <si>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</si>
  <si>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</si>
  <si>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</si>
  <si>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</si>
  <si>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</si>
  <si>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</si>
  <si>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</si>
  <si>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</si>
  <si>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</si>
  <si>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</si>
  <si>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</si>
  <si>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</si>
  <si>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</si>
  <si>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</si>
  <si>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</si>
  <si>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</si>
  <si>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</si>
  <si>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</si>
  <si>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</si>
  <si>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</si>
  <si>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</si>
  <si>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</si>
  <si>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</si>
  <si>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</si>
  <si>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</si>
  <si>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</si>
  <si>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</si>
  <si>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</si>
  <si>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</si>
  <si>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</si>
  <si>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</si>
  <si>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</si>
  <si>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</si>
  <si>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</si>
  <si>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</si>
  <si>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</si>
  <si>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</si>
  <si>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</si>
  <si>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</si>
  <si>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</si>
  <si>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</si>
  <si>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</si>
  <si>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</si>
  <si>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</si>
  <si>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</si>
  <si>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</si>
  <si>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</si>
  <si>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</si>
  <si>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</si>
  <si>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</si>
  <si>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</si>
  <si>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</si>
  <si>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</si>
  <si>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</si>
  <si>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</si>
  <si>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</si>
  <si>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</si>
  <si>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</si>
  <si>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</si>
  <si>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</si>
  <si>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</si>
  <si>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</si>
  <si>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</si>
  <si>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</si>
  <si>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</si>
  <si>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</si>
  <si>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</si>
  <si>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</si>
  <si>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</si>
  <si>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</si>
  <si>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</si>
  <si>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</si>
  <si>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</si>
  <si>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</si>
  <si>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</si>
  <si>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</si>
  <si>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</si>
  <si>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</si>
  <si>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</si>
  <si>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</si>
  <si>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</si>
  <si>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</si>
  <si>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</si>
  <si>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</si>
  <si>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</si>
  <si>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</si>
  <si>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</si>
  <si>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</si>
  <si>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</si>
  <si>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</si>
  <si>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</si>
  <si>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</si>
  <si>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</si>
  <si>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</si>
  <si>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</si>
  <si>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</si>
  <si>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</si>
  <si>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</si>
  <si>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</si>
  <si>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</si>
  <si>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</si>
  <si>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</si>
  <si>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</si>
  <si>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</si>
  <si>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</si>
  <si>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</si>
  <si>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</si>
  <si>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</si>
  <si>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</si>
  <si>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</si>
  <si>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</si>
  <si>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</si>
  <si>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</si>
  <si>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</si>
  <si>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</si>
  <si>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</si>
  <si>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</si>
  <si>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</si>
  <si>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</si>
  <si>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</si>
  <si>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</si>
  <si>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</si>
  <si>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</si>
  <si>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</si>
  <si>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</si>
  <si>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</si>
  <si>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</si>
  <si>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</si>
  <si>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</si>
  <si>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</si>
  <si>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</si>
  <si>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</si>
  <si>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</si>
  <si>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</si>
  <si>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</si>
  <si>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</si>
  <si>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</si>
  <si>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</si>
  <si>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</si>
  <si>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</si>
  <si>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</si>
  <si>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</si>
  <si>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</si>
  <si>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</si>
  <si>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</si>
  <si>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</si>
  <si>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</si>
  <si>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</si>
  <si>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</si>
  <si>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</si>
  <si>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</si>
  <si>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</si>
  <si>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</si>
  <si>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</si>
  <si>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</si>
  <si>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</si>
  <si>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</si>
  <si>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</si>
  <si>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</si>
  <si>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</si>
  <si>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</si>
  <si>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</si>
  <si>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</si>
  <si>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</si>
  <si>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</si>
  <si>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</si>
  <si>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</si>
  <si>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</si>
  <si>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</si>
  <si>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</si>
  <si>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</si>
  <si>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</si>
  <si>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</si>
  <si>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</si>
  <si>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</si>
  <si>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</si>
  <si>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</si>
  <si>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</si>
  <si>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</si>
  <si>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</si>
  <si>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</si>
  <si>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</si>
  <si>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</si>
  <si>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</si>
  <si>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</si>
  <si>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</si>
  <si>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</si>
  <si>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</si>
  <si>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</si>
  <si>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</si>
  <si>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</si>
  <si>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</si>
  <si>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</si>
  <si>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</si>
  <si>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</si>
  <si>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</si>
  <si>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</si>
  <si>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</si>
  <si>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</si>
  <si>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</si>
  <si>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</si>
  <si>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</si>
  <si>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</si>
  <si>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</si>
  <si>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</si>
  <si>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</si>
  <si>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</si>
  <si>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</si>
  <si>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</si>
  <si>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</si>
  <si>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</si>
  <si>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</si>
  <si>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</si>
  <si>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</si>
  <si>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</si>
  <si>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</si>
  <si>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</si>
  <si>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</si>
  <si>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</si>
  <si>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</si>
  <si>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</si>
  <si>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</si>
  <si>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</si>
  <si>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</si>
  <si>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</si>
  <si>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</si>
  <si>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</si>
  <si>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</si>
  <si>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</si>
  <si>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</si>
  <si>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</si>
  <si>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</si>
  <si>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</si>
  <si>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</si>
  <si>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</si>
  <si>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</si>
  <si>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</si>
  <si>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</si>
  <si>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</si>
  <si>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</si>
  <si>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</si>
  <si>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</si>
  <si>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</si>
  <si>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</si>
  <si>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</si>
  <si>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</si>
  <si>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</si>
  <si>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</si>
  <si>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</si>
  <si>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</si>
  <si>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</si>
  <si>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</si>
  <si>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</si>
  <si>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</si>
  <si>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</si>
  <si>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</si>
  <si>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</si>
  <si>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</si>
  <si>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</si>
  <si>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</si>
  <si>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</si>
  <si>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</si>
  <si>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</si>
  <si>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</si>
  <si>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</si>
  <si>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</si>
  <si>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</si>
  <si>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</si>
  <si>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</si>
  <si>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</si>
  <si>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</si>
  <si>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</si>
  <si>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</si>
  <si>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</si>
  <si>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</si>
  <si>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</si>
  <si>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</si>
  <si>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</si>
  <si>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</si>
  <si>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</si>
  <si>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</si>
  <si>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</si>
  <si>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</si>
  <si>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</si>
  <si>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</si>
  <si>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</si>
  <si>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</si>
  <si>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</si>
  <si>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</si>
  <si>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</si>
  <si>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</si>
  <si>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</si>
  <si>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</si>
  <si>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</si>
  <si>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</si>
  <si>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</si>
  <si>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</si>
  <si>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</si>
  <si>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</si>
  <si>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</si>
  <si>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</si>
  <si>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</si>
  <si>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</si>
  <si>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</si>
  <si>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</si>
  <si>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</si>
  <si>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</si>
  <si>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</si>
  <si>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</si>
  <si>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</si>
  <si>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</si>
  <si>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</si>
  <si>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</si>
  <si>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</si>
  <si>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</si>
  <si>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</si>
  <si>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</si>
  <si>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</si>
  <si>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</si>
  <si>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</si>
  <si>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</si>
  <si>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</si>
  <si>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</si>
  <si>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</si>
  <si>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</si>
  <si>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</si>
  <si>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</si>
  <si>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</si>
  <si>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</si>
  <si>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</si>
  <si>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</si>
  <si>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</si>
  <si>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</si>
  <si>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</si>
  <si>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</si>
  <si>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</si>
  <si>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</si>
  <si>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</si>
  <si>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</si>
  <si>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</si>
  <si>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</si>
  <si>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</si>
  <si>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</si>
  <si>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</si>
  <si>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</si>
  <si>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</si>
  <si>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</si>
  <si>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</si>
  <si>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</si>
  <si>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</si>
  <si>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</si>
  <si>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</si>
  <si>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</si>
  <si>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</si>
  <si>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</si>
  <si>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</si>
  <si>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</si>
  <si>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</si>
  <si>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</si>
  <si>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</si>
  <si>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</si>
  <si>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</si>
  <si>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</si>
  <si>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</si>
  <si>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</si>
  <si>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</si>
  <si>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</si>
  <si>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</si>
  <si>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</si>
  <si>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</si>
  <si>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</si>
  <si>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</si>
  <si>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</si>
  <si>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</si>
  <si>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</si>
  <si>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</si>
  <si>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</si>
  <si>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</si>
  <si>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</si>
  <si>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</si>
  <si>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</si>
  <si>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</si>
  <si>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</si>
  <si>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</si>
  <si>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</si>
  <si>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</si>
  <si>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</si>
  <si>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</si>
  <si>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</si>
  <si>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</si>
  <si>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</si>
  <si>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</si>
  <si>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</si>
  <si>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</si>
  <si>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</si>
  <si>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</si>
  <si>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</si>
  <si>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</si>
  <si>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</si>
  <si>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</si>
  <si>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</si>
  <si>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</si>
  <si>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</si>
  <si>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</si>
  <si>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</si>
  <si>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</si>
  <si>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</si>
  <si>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</si>
  <si>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</si>
  <si>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</si>
  <si>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</si>
  <si>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</si>
  <si>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</si>
  <si>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</si>
  <si>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</si>
  <si>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</si>
  <si>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</si>
  <si>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</si>
  <si>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</si>
  <si>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</si>
  <si>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</si>
  <si>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</si>
  <si>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</si>
  <si>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</si>
  <si>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</si>
  <si>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</si>
  <si>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</si>
  <si>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</si>
  <si>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</si>
  <si>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</si>
  <si>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</si>
  <si>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</si>
  <si>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</si>
  <si>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</si>
  <si>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</si>
  <si>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</si>
  <si>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</si>
  <si>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</si>
  <si>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</si>
  <si>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</si>
  <si>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</si>
  <si>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</si>
  <si>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</si>
  <si>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</si>
  <si>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</si>
  <si>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</si>
  <si>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</si>
  <si>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</si>
  <si>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</si>
  <si>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</si>
  <si>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</si>
  <si>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</si>
  <si>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</si>
  <si>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</si>
  <si>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</si>
  <si>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</si>
  <si>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</si>
  <si>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</si>
  <si>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</si>
  <si>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</si>
  <si>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</si>
  <si>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</si>
  <si>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</si>
  <si>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</si>
  <si>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</si>
  <si>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</si>
  <si>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</si>
  <si>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</si>
  <si>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</si>
  <si>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</si>
  <si>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</si>
  <si>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</si>
  <si>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</si>
  <si>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</si>
  <si>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</si>
  <si>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</si>
  <si>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</si>
  <si>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</si>
  <si>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</si>
  <si>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</si>
  <si>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</si>
  <si>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</si>
  <si>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</si>
  <si>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</si>
  <si>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</si>
  <si>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</si>
  <si>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</si>
  <si>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</si>
  <si>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</si>
  <si>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</si>
  <si>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</si>
  <si>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</si>
  <si>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</si>
  <si>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</si>
  <si>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</si>
  <si>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</si>
  <si>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</si>
  <si>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</si>
  <si>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</si>
  <si>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</si>
  <si>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</si>
  <si>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</si>
  <si>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</si>
  <si>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</si>
  <si>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</si>
  <si>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</si>
  <si>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</si>
  <si>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</si>
  <si>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</si>
  <si>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</si>
  <si>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</si>
  <si>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</si>
  <si>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</si>
  <si>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</si>
  <si>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</si>
  <si>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</si>
  <si>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</si>
  <si>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SEVILLA</t>
  </si>
  <si>
    <t>Resumenes por Partidos Judiciales</t>
  </si>
  <si>
    <t>UTRERA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</si>
</sst>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mQQxkohQ+sVuGz52Un0nKQFXdBhXocB+G1kz2g70URNWj6ymkBxCHdkIa/8yPuXGEJrbc4F7vtv7w97LmNQyA==" saltValue="upW+UJynn0ro6hLbqavX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1</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30.247451343836882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1277</v>
      </c>
      <c r="D17" s="239">
        <f>IF(ISNUMBER(IF(D_I="SI",Datos!I17,Datos!I17+Datos!AC17)),IF(D_I="SI",Datos!I17,Datos!I17+Datos!AC17)," - ")</f>
        <v>1273</v>
      </c>
      <c r="E17" s="240">
        <f>IF(ISNUMBER(IF(D_I="SI",Datos!J17,Datos!J17+Datos!AD17)),IF(D_I="SI",Datos!J17,Datos!J17+Datos!AD17)," - ")</f>
        <v>815</v>
      </c>
      <c r="F17" s="240">
        <f>IF(ISNUMBER(IF(D_I="SI",Datos!K17,Datos!K17+Datos!AE17)),IF(D_I="SI",Datos!K17,Datos!K17+Datos!AE17)," - ")</f>
        <v>662</v>
      </c>
      <c r="G17" s="1390" t="str">
        <f>IF(Datos!E17&lt;&gt;"",Datos!E17,Datos!D17)</f>
        <v>04</v>
      </c>
      <c r="H17" s="241">
        <f>IF(ISNUMBER(IF(D_I="SI",Datos!L17,Datos!L17+Datos!AF17)),IF(D_I="SI",Datos!L17,Datos!L17+Datos!AF17)," - ")</f>
        <v>1430</v>
      </c>
      <c r="I17" s="1400" t="str">
        <f>IF(ISNUMBER(Datos!AS17/Datos!BM17),Datos!AS17/Datos!BM17," - ")</f>
        <v xml:space="preserve"> - </v>
      </c>
      <c r="J17" s="1401">
        <f>IF(ISNUMBER(Datos!BY17/Datos!CN17),Datos!BY17/Datos!CN17," - ")</f>
        <v>0</v>
      </c>
      <c r="K17" s="244">
        <f t="shared" si="3"/>
        <v>0.11981205951448708</v>
      </c>
      <c r="L17" s="1402">
        <f>IF(ISNUMBER(NºAsuntos!I17/NºAsuntos!G17),(NºAsuntos!I17/NºAsuntos!G17)*11," - ")</f>
        <v>23.761329305135952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v>
      </c>
      <c r="D18" s="239">
        <f>IF(ISNUMBER(IF(D_I="SI",Datos!I18,Datos!I18+Datos!AC18)),IF(D_I="SI",Datos!I18,Datos!I18+Datos!AC18)," - ")</f>
        <v>9</v>
      </c>
      <c r="E18" s="240">
        <f>IF(ISNUMBER(IF(D_I="SI",Datos!J18,Datos!J18+Datos!AD18)),IF(D_I="SI",Datos!J18,Datos!J18+Datos!AD18)," - ")</f>
        <v>69</v>
      </c>
      <c r="F18" s="240">
        <f>IF(ISNUMBER(IF(D_I="SI",Datos!K18,Datos!K18+Datos!AE18)),IF(D_I="SI",Datos!K18,Datos!K18+Datos!AE18)," - ")</f>
        <v>74</v>
      </c>
      <c r="G18" s="1390" t="str">
        <f>IF(Datos!E18&lt;&gt;"",Datos!E18,Datos!D18)</f>
        <v>37</v>
      </c>
      <c r="H18" s="241">
        <f>IF(ISNUMBER(IF(D_I="SI",Datos!L18,Datos!L18+Datos!AF18)),IF(D_I="SI",Datos!L18,Datos!L18+Datos!AF18)," - ")</f>
        <v>4</v>
      </c>
      <c r="I18" s="1400" t="str">
        <f>IF(ISNUMBER(Datos!AS18/Datos!BM18),Datos!AS18/Datos!BM18," - ")</f>
        <v xml:space="preserve"> - </v>
      </c>
      <c r="J18" s="1401" t="str">
        <f>IF(ISNUMBER((Datos!BY18+Datos!BZ18)/Datos!CN18),(Datos!BY18+Datos!BZ18)/Datos!CN18," - ")</f>
        <v xml:space="preserve"> - </v>
      </c>
      <c r="K18" s="244">
        <f t="shared" si="3"/>
        <v>-0.55555555555555558</v>
      </c>
      <c r="L18" s="1402">
        <f>IF(ISNUMBER(NºAsuntos!I18/NºAsuntos!G18),(NºAsuntos!I18/NºAsuntos!G18)*11," - ")</f>
        <v>0.59459459459459463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1286</v>
      </c>
      <c r="D23" s="1407">
        <f>SUBTOTAL(9,D16:D22)</f>
        <v>1282</v>
      </c>
      <c r="E23" s="1408">
        <f>SUBTOTAL(9,E16:E22)</f>
        <v>884</v>
      </c>
      <c r="F23" s="1408">
        <f>SUBTOTAL(9,F16:F22)</f>
        <v>736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1286</v>
      </c>
      <c r="D31" s="1435">
        <f>SUBTOTAL(9,D9:D30)</f>
        <v>1282</v>
      </c>
      <c r="E31" s="1436">
        <f>SUBTOTAL(9,E9:E30)</f>
        <v>885</v>
      </c>
      <c r="F31" s="1436">
        <f>SUBTOTAL(9,F9:F30)</f>
        <v>737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zAqOYV/AQqb1zMPWhmB9L+6aoQAooh1vvydF+LaviBl2vK6R59353X8gfFc3gMxzR8XfgE4oS38tS4CMqRnNA==" saltValue="f2BmFtmMip+ejKraS7Nel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7UJzsvMGkUwyOv4HQXkiZOlAIQuFiqHrMwog16O+hiS49K980UNQHgFZ7sbbLq2EcunLU0IXW8SS2VCwx4aoXA==" saltValue="WtRI0Cz7PJ0LspPzXssq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1</v>
      </c>
      <c r="L10" s="194">
        <v>0</v>
      </c>
      <c r="M10" s="194">
        <v>0</v>
      </c>
      <c r="N10" s="194">
        <v>0</v>
      </c>
      <c r="O10" s="194">
        <v>0</v>
      </c>
      <c r="P10" s="194">
        <v>0</v>
      </c>
      <c r="Q10" s="194">
        <v>0</v>
      </c>
      <c r="R10" s="194">
        <v>2</v>
      </c>
      <c r="S10" s="194">
        <v>0</v>
      </c>
      <c r="T10" s="194">
        <v>1</v>
      </c>
      <c r="U10" s="194">
        <v>1</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1</v>
      </c>
      <c r="BA10" s="139">
        <f t="shared" si="0"/>
        <v>1</v>
      </c>
      <c r="BB10" s="139">
        <f t="shared" si="0"/>
        <v>0</v>
      </c>
      <c r="BC10" s="135">
        <f t="shared" si="0"/>
        <v>0</v>
      </c>
      <c r="BD10" s="136">
        <f>IF(ISNUMBER(BA10/AZ10),BA10/AZ10," - ")</f>
        <v>1</v>
      </c>
      <c r="BE10" s="137">
        <f>IF(ISNUMBER(BB10/BA10),BB10/BA10, " - ")</f>
        <v>0</v>
      </c>
      <c r="BF10" s="137">
        <f>IF(ISNUMBER(BC10/BA10),BC10/BA10, " - ")</f>
        <v>0</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3014</v>
      </c>
      <c r="J12" s="196">
        <v>876</v>
      </c>
      <c r="K12" s="196">
        <v>985</v>
      </c>
      <c r="L12" s="196">
        <v>2905</v>
      </c>
      <c r="M12" s="196">
        <v>259</v>
      </c>
      <c r="N12" s="196">
        <v>276</v>
      </c>
      <c r="O12" s="194">
        <v>460</v>
      </c>
      <c r="P12" s="196">
        <v>236</v>
      </c>
      <c r="Q12" s="196">
        <v>300</v>
      </c>
      <c r="R12" s="196">
        <v>4928</v>
      </c>
      <c r="S12" s="196">
        <v>3615</v>
      </c>
      <c r="T12" s="196">
        <v>934</v>
      </c>
      <c r="U12" s="196">
        <v>1099</v>
      </c>
      <c r="V12" s="196">
        <v>3558</v>
      </c>
      <c r="W12" s="196">
        <v>277</v>
      </c>
      <c r="X12" s="202">
        <v>421</v>
      </c>
      <c r="Y12" s="204">
        <v>80</v>
      </c>
      <c r="Z12" s="194">
        <v>76</v>
      </c>
      <c r="AA12" s="194">
        <v>94</v>
      </c>
      <c r="AB12" s="194">
        <v>62</v>
      </c>
      <c r="AC12" s="196">
        <v>0</v>
      </c>
      <c r="AD12" s="196">
        <v>0</v>
      </c>
      <c r="AE12" s="196">
        <v>0</v>
      </c>
      <c r="AF12" s="202">
        <v>0</v>
      </c>
      <c r="AG12" s="215">
        <v>119</v>
      </c>
      <c r="AH12" s="196">
        <v>86</v>
      </c>
      <c r="AI12" s="196">
        <v>93</v>
      </c>
      <c r="AJ12" s="216">
        <v>112</v>
      </c>
      <c r="AK12" s="195">
        <v>0</v>
      </c>
      <c r="AL12" s="196">
        <v>0</v>
      </c>
      <c r="AM12" s="196">
        <v>0</v>
      </c>
      <c r="AN12" s="202">
        <v>0</v>
      </c>
      <c r="AO12" s="283">
        <v>4</v>
      </c>
      <c r="AP12" s="168">
        <v>4</v>
      </c>
      <c r="AQ12" s="168">
        <v>4</v>
      </c>
      <c r="AR12" s="167">
        <v>4</v>
      </c>
      <c r="AS12" s="381" t="s">
        <v>1075</v>
      </c>
      <c r="AT12" s="216"/>
      <c r="AU12" s="215"/>
      <c r="AV12" s="216"/>
      <c r="AW12" s="215"/>
      <c r="AX12" s="216"/>
      <c r="AY12" s="136">
        <f t="shared" si="1"/>
        <v>3734</v>
      </c>
      <c r="AZ12" s="137">
        <f t="shared" si="1"/>
        <v>1020</v>
      </c>
      <c r="BA12" s="137">
        <f t="shared" si="1"/>
        <v>1192</v>
      </c>
      <c r="BB12" s="137">
        <f t="shared" si="1"/>
        <v>3670</v>
      </c>
      <c r="BC12" s="135">
        <f>IF(ISNUMBER(X12),X12," - ")</f>
        <v>421</v>
      </c>
      <c r="BD12" s="136">
        <f t="shared" si="2"/>
        <v>1.1686274509803922</v>
      </c>
      <c r="BE12" s="137">
        <f t="shared" si="3"/>
        <v>3.0788590604026846</v>
      </c>
      <c r="BF12" s="137">
        <f t="shared" si="4"/>
        <v>0.35318791946308725</v>
      </c>
      <c r="BG12" s="209">
        <f t="shared" si="5"/>
        <v>3.988255033557047</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3014</v>
      </c>
      <c r="J14" s="197">
        <f t="shared" si="7"/>
        <v>877</v>
      </c>
      <c r="K14" s="197">
        <f t="shared" si="7"/>
        <v>986</v>
      </c>
      <c r="L14" s="197">
        <f t="shared" si="7"/>
        <v>2905</v>
      </c>
      <c r="M14" s="197">
        <f t="shared" si="7"/>
        <v>259</v>
      </c>
      <c r="N14" s="197">
        <f t="shared" si="7"/>
        <v>276</v>
      </c>
      <c r="O14" s="197">
        <f t="shared" si="7"/>
        <v>460</v>
      </c>
      <c r="P14" s="197">
        <f t="shared" si="7"/>
        <v>236</v>
      </c>
      <c r="Q14" s="197">
        <f t="shared" si="7"/>
        <v>300</v>
      </c>
      <c r="R14" s="197">
        <f t="shared" si="7"/>
        <v>4930</v>
      </c>
      <c r="S14" s="197">
        <f t="shared" si="7"/>
        <v>3615</v>
      </c>
      <c r="T14" s="197">
        <f t="shared" si="7"/>
        <v>935</v>
      </c>
      <c r="U14" s="197">
        <f t="shared" si="7"/>
        <v>1100</v>
      </c>
      <c r="V14" s="197">
        <f t="shared" si="7"/>
        <v>3558</v>
      </c>
      <c r="W14" s="197">
        <f t="shared" si="7"/>
        <v>277</v>
      </c>
      <c r="X14" s="197">
        <f t="shared" si="7"/>
        <v>421</v>
      </c>
      <c r="Y14" s="197">
        <f t="shared" si="7"/>
        <v>80</v>
      </c>
      <c r="Z14" s="197">
        <f t="shared" si="7"/>
        <v>76</v>
      </c>
      <c r="AA14" s="197">
        <f t="shared" si="7"/>
        <v>94</v>
      </c>
      <c r="AB14" s="197">
        <f t="shared" si="7"/>
        <v>62</v>
      </c>
      <c r="AC14" s="197">
        <f t="shared" si="7"/>
        <v>0</v>
      </c>
      <c r="AD14" s="197">
        <f t="shared" si="7"/>
        <v>0</v>
      </c>
      <c r="AE14" s="197">
        <f t="shared" si="7"/>
        <v>0</v>
      </c>
      <c r="AF14" s="197">
        <f>SUBTOTAL(9,AF9:AF13)</f>
        <v>0</v>
      </c>
      <c r="AG14" s="197">
        <f t="shared" ref="AG14:AT14" si="8">SUBTOTAL(9,AG8:AG13)</f>
        <v>119</v>
      </c>
      <c r="AH14" s="197">
        <f t="shared" si="8"/>
        <v>86</v>
      </c>
      <c r="AI14" s="197">
        <f t="shared" si="8"/>
        <v>93</v>
      </c>
      <c r="AJ14" s="197">
        <f t="shared" si="8"/>
        <v>112</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3734</v>
      </c>
      <c r="AZ14" s="197">
        <f>SUBTOTAL(9,AZ8:AZ13)</f>
        <v>1021</v>
      </c>
      <c r="BA14" s="197">
        <f>SUBTOTAL(9,BA8:BA13)</f>
        <v>1193</v>
      </c>
      <c r="BB14" s="197">
        <f>SUBTOTAL(9,BB8:BB13)</f>
        <v>3670</v>
      </c>
      <c r="BC14" s="197">
        <f>SUBTOTAL(9,BC8:BC13)</f>
        <v>421</v>
      </c>
      <c r="BD14" s="219">
        <f>IF(ISNUMBER(BA14/AZ14),BA14/AZ14," - ")</f>
        <v>1.168462291870715</v>
      </c>
      <c r="BE14" s="220">
        <f>IF(ISNUMBER(BB14/BA14),BB14/BA14, " - ")</f>
        <v>3.0762782900251469</v>
      </c>
      <c r="BF14" s="220">
        <f>IF(ISNUMBER(BC14/BA14),BC14/BA14, " - ")</f>
        <v>0.3528918692372171</v>
      </c>
      <c r="BG14" s="221">
        <f>IF(ISNUMBER((AY14+AZ14)/BA14),(AY14+AZ14)/BA14," - ")</f>
        <v>3.985750209555742</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1273</v>
      </c>
      <c r="J17" s="196">
        <v>815</v>
      </c>
      <c r="K17" s="196">
        <v>662</v>
      </c>
      <c r="L17" s="196">
        <v>1430</v>
      </c>
      <c r="M17" s="196">
        <v>129</v>
      </c>
      <c r="N17" s="196">
        <v>339</v>
      </c>
      <c r="O17" s="194">
        <v>1</v>
      </c>
      <c r="P17" s="196">
        <v>19</v>
      </c>
      <c r="Q17" s="196">
        <v>14</v>
      </c>
      <c r="R17" s="196">
        <v>213</v>
      </c>
      <c r="S17" s="196">
        <v>1433</v>
      </c>
      <c r="T17" s="196">
        <v>847</v>
      </c>
      <c r="U17" s="196">
        <v>874</v>
      </c>
      <c r="V17" s="196">
        <v>1208</v>
      </c>
      <c r="W17" s="196">
        <v>170</v>
      </c>
      <c r="X17" s="202">
        <v>410</v>
      </c>
      <c r="Y17" s="215">
        <v>0</v>
      </c>
      <c r="Z17" s="196">
        <v>0</v>
      </c>
      <c r="AA17" s="196">
        <v>0</v>
      </c>
      <c r="AB17" s="196">
        <v>0</v>
      </c>
      <c r="AC17" s="196">
        <v>0</v>
      </c>
      <c r="AD17" s="196">
        <v>0</v>
      </c>
      <c r="AE17" s="196">
        <v>0</v>
      </c>
      <c r="AF17" s="202">
        <v>0</v>
      </c>
      <c r="AG17" s="215">
        <v>0</v>
      </c>
      <c r="AH17" s="196">
        <v>0</v>
      </c>
      <c r="AI17" s="196">
        <v>0</v>
      </c>
      <c r="AJ17" s="216">
        <v>0</v>
      </c>
      <c r="AK17" s="195">
        <v>1</v>
      </c>
      <c r="AL17" s="196">
        <v>0</v>
      </c>
      <c r="AM17" s="196">
        <v>0</v>
      </c>
      <c r="AN17" s="202">
        <v>1</v>
      </c>
      <c r="AO17" s="283">
        <v>4</v>
      </c>
      <c r="AP17" s="168">
        <v>4</v>
      </c>
      <c r="AQ17" s="168">
        <v>4</v>
      </c>
      <c r="AR17" s="168">
        <v>4</v>
      </c>
      <c r="AS17" s="381" t="s">
        <v>650</v>
      </c>
      <c r="AT17" s="216"/>
      <c r="AU17" s="215"/>
      <c r="AV17" s="216"/>
      <c r="AW17" s="215"/>
      <c r="AX17" s="216"/>
      <c r="AY17" s="136">
        <f t="shared" si="10"/>
        <v>1433</v>
      </c>
      <c r="AZ17" s="137">
        <f t="shared" si="10"/>
        <v>847</v>
      </c>
      <c r="BA17" s="137">
        <f t="shared" si="10"/>
        <v>874</v>
      </c>
      <c r="BB17" s="137">
        <f t="shared" si="10"/>
        <v>1208</v>
      </c>
      <c r="BC17" s="135">
        <f>IF(ISNUMBER(W17),W17," - ")</f>
        <v>170</v>
      </c>
      <c r="BD17" s="136">
        <f t="shared" ref="BD17:BD22" si="12">IF(ISNUMBER(BA17/AZ17),BA17/AZ17," - ")</f>
        <v>1.0318772136953955</v>
      </c>
      <c r="BE17" s="137">
        <f t="shared" ref="BE17:BE22" si="13">IF(ISNUMBER(BB17/BA17),BB17/BA17, " - ")</f>
        <v>1.3821510297482837</v>
      </c>
      <c r="BF17" s="137">
        <f t="shared" ref="BF17:BF22" si="14">IF(ISNUMBER(BC17/BA17),BC17/BA17, " - ")</f>
        <v>0.19450800915331809</v>
      </c>
      <c r="BG17" s="209">
        <f t="shared" si="11"/>
        <v>2.6086956521739131</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v>
      </c>
      <c r="J18" s="196">
        <v>69</v>
      </c>
      <c r="K18" s="196">
        <v>74</v>
      </c>
      <c r="L18" s="196">
        <v>4</v>
      </c>
      <c r="M18" s="196">
        <v>15</v>
      </c>
      <c r="N18" s="196">
        <v>54</v>
      </c>
      <c r="O18" s="196">
        <v>0</v>
      </c>
      <c r="P18" s="196">
        <v>0</v>
      </c>
      <c r="Q18" s="196">
        <v>0</v>
      </c>
      <c r="R18" s="196">
        <v>0</v>
      </c>
      <c r="S18" s="196">
        <v>43</v>
      </c>
      <c r="T18" s="196">
        <v>93</v>
      </c>
      <c r="U18" s="196">
        <v>95</v>
      </c>
      <c r="V18" s="196">
        <v>41</v>
      </c>
      <c r="W18" s="196">
        <v>43</v>
      </c>
      <c r="X18" s="202">
        <v>44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43</v>
      </c>
      <c r="AZ18" s="139">
        <f t="shared" si="15"/>
        <v>93</v>
      </c>
      <c r="BA18" s="139">
        <f t="shared" si="15"/>
        <v>95</v>
      </c>
      <c r="BB18" s="139">
        <f t="shared" si="15"/>
        <v>41</v>
      </c>
      <c r="BC18" s="135">
        <f>IF(ISNUMBER(W18),W18," - ")</f>
        <v>43</v>
      </c>
      <c r="BD18" s="136">
        <f>IF(ISNUMBER(BA18/AZ18),BA18/AZ18," - ")</f>
        <v>1.021505376344086</v>
      </c>
      <c r="BE18" s="137">
        <f>IF(ISNUMBER(BB18/BA18),BB18/BA18, " - ")</f>
        <v>0.43157894736842106</v>
      </c>
      <c r="BF18" s="137">
        <f>IF(ISNUMBER(BC18/BA18),BC18/BA18, " - ")</f>
        <v>0.45263157894736844</v>
      </c>
      <c r="BG18" s="209">
        <f>IF(ISNUMBER((AY18+AZ18)/BA18),(AY18+AZ18)/BA18," - ")</f>
        <v>1.4315789473684211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1282</v>
      </c>
      <c r="J23" s="197">
        <f t="shared" si="21"/>
        <v>884</v>
      </c>
      <c r="K23" s="197">
        <f t="shared" si="21"/>
        <v>736</v>
      </c>
      <c r="L23" s="197">
        <f t="shared" si="21"/>
        <v>1434</v>
      </c>
      <c r="M23" s="197">
        <f t="shared" si="21"/>
        <v>144</v>
      </c>
      <c r="N23" s="197">
        <f t="shared" si="21"/>
        <v>393</v>
      </c>
      <c r="O23" s="197">
        <f t="shared" si="21"/>
        <v>1</v>
      </c>
      <c r="P23" s="197">
        <f t="shared" si="21"/>
        <v>19</v>
      </c>
      <c r="Q23" s="197">
        <f t="shared" si="21"/>
        <v>14</v>
      </c>
      <c r="R23" s="197">
        <f t="shared" si="21"/>
        <v>213</v>
      </c>
      <c r="S23" s="197">
        <f t="shared" si="21"/>
        <v>1476</v>
      </c>
      <c r="T23" s="197">
        <f t="shared" si="21"/>
        <v>940</v>
      </c>
      <c r="U23" s="197">
        <f t="shared" si="21"/>
        <v>969</v>
      </c>
      <c r="V23" s="197">
        <f t="shared" si="21"/>
        <v>1249</v>
      </c>
      <c r="W23" s="197">
        <f t="shared" si="21"/>
        <v>213</v>
      </c>
      <c r="X23" s="197">
        <f t="shared" si="21"/>
        <v>454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1</v>
      </c>
      <c r="AL23" s="197">
        <f t="shared" si="21"/>
        <v>0</v>
      </c>
      <c r="AM23" s="197">
        <f t="shared" si="21"/>
        <v>0</v>
      </c>
      <c r="AN23" s="197">
        <f t="shared" si="21"/>
        <v>1</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1476</v>
      </c>
      <c r="AZ23" s="197">
        <f>SUBTOTAL(9,AZ15:AZ22)</f>
        <v>940</v>
      </c>
      <c r="BA23" s="197">
        <f>SUBTOTAL(9,BA15:BA22)</f>
        <v>969</v>
      </c>
      <c r="BB23" s="197">
        <f>SUBTOTAL(9,BB15:BB22)</f>
        <v>1249</v>
      </c>
      <c r="BC23" s="197">
        <f>SUBTOTAL(9,BC15:BC22)</f>
        <v>213</v>
      </c>
      <c r="BD23" s="219">
        <f>IF(ISNUMBER(BA23/AZ23),BA23/AZ23," - ")</f>
        <v>1.0308510638297872</v>
      </c>
      <c r="BE23" s="220">
        <f>IF(ISNUMBER(BB23/BA23),BB23/BA23, " - ")</f>
        <v>1.2889576883384932</v>
      </c>
      <c r="BF23" s="220">
        <f>IF(ISNUMBER(BC23/BA23),BC23/BA23, " - ")</f>
        <v>0.21981424148606812</v>
      </c>
      <c r="BG23" s="221">
        <f>IF(ISNUMBER((AY23+AZ23)/BA23),(AY23+AZ23)/BA23," - ")</f>
        <v>2.4932920536635708</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4296</v>
      </c>
      <c r="J31" s="144">
        <f t="shared" si="36"/>
        <v>1761</v>
      </c>
      <c r="K31" s="144">
        <f t="shared" si="36"/>
        <v>1722</v>
      </c>
      <c r="L31" s="144">
        <f t="shared" si="36"/>
        <v>4339</v>
      </c>
      <c r="M31" s="144">
        <f t="shared" si="36"/>
        <v>403</v>
      </c>
      <c r="N31" s="144">
        <f t="shared" si="36"/>
        <v>669</v>
      </c>
      <c r="O31" s="144">
        <f t="shared" si="36"/>
        <v>461</v>
      </c>
      <c r="P31" s="144">
        <f t="shared" si="36"/>
        <v>255</v>
      </c>
      <c r="Q31" s="144">
        <f t="shared" si="36"/>
        <v>314</v>
      </c>
      <c r="R31" s="144">
        <f t="shared" si="36"/>
        <v>5143</v>
      </c>
      <c r="S31" s="144">
        <f t="shared" si="36"/>
        <v>5091</v>
      </c>
      <c r="T31" s="144">
        <f t="shared" si="36"/>
        <v>1875</v>
      </c>
      <c r="U31" s="144">
        <f t="shared" si="36"/>
        <v>2069</v>
      </c>
      <c r="V31" s="144">
        <f t="shared" si="36"/>
        <v>4807</v>
      </c>
      <c r="W31" s="144">
        <f t="shared" si="36"/>
        <v>490</v>
      </c>
      <c r="X31" s="144">
        <f t="shared" si="36"/>
        <v>875</v>
      </c>
      <c r="Y31" s="144">
        <f t="shared" si="36"/>
        <v>80</v>
      </c>
      <c r="Z31" s="144">
        <f t="shared" si="36"/>
        <v>76</v>
      </c>
      <c r="AA31" s="144">
        <f t="shared" si="36"/>
        <v>94</v>
      </c>
      <c r="AB31" s="144">
        <f t="shared" si="36"/>
        <v>62</v>
      </c>
      <c r="AC31" s="144">
        <f t="shared" si="36"/>
        <v>0</v>
      </c>
      <c r="AD31" s="144">
        <f t="shared" si="36"/>
        <v>0</v>
      </c>
      <c r="AE31" s="144">
        <f t="shared" si="36"/>
        <v>0</v>
      </c>
      <c r="AF31" s="144">
        <f t="shared" si="36"/>
        <v>0</v>
      </c>
      <c r="AG31" s="144">
        <f t="shared" si="36"/>
        <v>119</v>
      </c>
      <c r="AH31" s="144">
        <f t="shared" si="36"/>
        <v>86</v>
      </c>
      <c r="AI31" s="144">
        <f t="shared" si="36"/>
        <v>93</v>
      </c>
      <c r="AJ31" s="144">
        <f t="shared" si="36"/>
        <v>112</v>
      </c>
      <c r="AK31" s="144">
        <f t="shared" si="36"/>
        <v>1</v>
      </c>
      <c r="AL31" s="144">
        <f t="shared" si="36"/>
        <v>0</v>
      </c>
      <c r="AM31" s="144">
        <f t="shared" si="36"/>
        <v>0</v>
      </c>
      <c r="AN31" s="224">
        <f t="shared" si="36"/>
        <v>1</v>
      </c>
      <c r="AO31" s="225">
        <v>5</v>
      </c>
      <c r="AP31" s="225">
        <v>4</v>
      </c>
      <c r="AQ31" s="225">
        <v>4</v>
      </c>
      <c r="AR31" s="225">
        <v>4</v>
      </c>
      <c r="AS31" s="166">
        <f t="shared" si="36"/>
        <v>0</v>
      </c>
      <c r="AT31" s="166">
        <f t="shared" si="36"/>
        <v>0</v>
      </c>
      <c r="AU31" s="225"/>
      <c r="AV31" s="226"/>
      <c r="AW31" s="225"/>
      <c r="AX31" s="226"/>
      <c r="AY31" s="143">
        <f>SUBTOTAL(9,AY9:AY30)</f>
        <v>5210</v>
      </c>
      <c r="AZ31" s="144">
        <f>SUBTOTAL(9,AZ9:AZ30)</f>
        <v>1961</v>
      </c>
      <c r="BA31" s="144">
        <f>SUBTOTAL(9,BA9:BA30)</f>
        <v>2162</v>
      </c>
      <c r="BB31" s="144">
        <f>SUBTOTAL(9,BB9:BB30)</f>
        <v>4919</v>
      </c>
      <c r="BC31" s="145">
        <f>SUBTOTAL(9,BC9:BC30)</f>
        <v>634</v>
      </c>
      <c r="BD31" s="227">
        <f>IF(ISNUMBER(BA31/AZ31),BA31/AZ31," - ")</f>
        <v>1.1024987251402345</v>
      </c>
      <c r="BE31" s="224">
        <f>IF(ISNUMBER(BB31/BA31),BB31/BA31, " - ")</f>
        <v>2.275208140610546</v>
      </c>
      <c r="BF31" s="224">
        <f>IF(ISNUMBER(BC31/BA31),BC31/BA31, " - ")</f>
        <v>0.29324699352451433</v>
      </c>
      <c r="BG31" s="145">
        <f>IF(ISNUMBER((AY31+AZ31)/BA31),(AY31+AZ31)/BA31," - ")</f>
        <v>3.3168362627197041</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45RUbUzYX1RmF1G9KYsz2zygy4zzenstGzN/M/LiMSbS4SdYu2ydENJ8LEt2HmzNFcSnFeoqhs0Qv4Iz3h18Q==" saltValue="apCFVBLHz4vkJH+osXjT/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fyiT41XFcqZa8Xe2tNLPk9Ec1gJF0W/fWabc5iEewgFP73SBHwCOiZ6juFkNjSjcFwaChUlrB5hs5Xzyybspg==" saltValue="29Yv7xuJPLHAaRm3X2Pay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UTRERA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0</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76</v>
      </c>
      <c r="O12" s="549"/>
      <c r="P12" s="549"/>
      <c r="Q12" s="547">
        <f>IF(ISNUMBER(Datos!P12),Datos!P12,0)</f>
        <v>236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300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62</v>
      </c>
      <c r="AI12" s="549" t="str">
        <f>IF(ISNUMBER(Datos!CD12),Datos!CD12,"-")</f>
        <v>-</v>
      </c>
      <c r="AJ12" s="549" t="str">
        <f>IF(ISNUMBER(Datos!EN12),Datos!EN12," - ")</f>
        <v xml:space="preserve"> - </v>
      </c>
      <c r="AK12" s="549"/>
      <c r="AL12" s="550"/>
      <c r="AM12" s="766">
        <f>IF(ISNUMBER(Datos!R12),Datos!R12," - ")</f>
        <v>4928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259</v>
      </c>
      <c r="BD12" s="693">
        <f>IF(ISNUMBER(Datos!N12),Datos!N12," - ")</f>
        <v>276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1.1334033613445378</v>
      </c>
      <c r="BH12" s="764">
        <f>IF(ISNUMBER(((IF(J_V="SI",Datos!L12/Datos!K12,(Datos!L12+Datos!AB12)/(Datos!K12+Datos!AA12)))*11)/factor_trimestre),((IF(J_V="SI",Datos!L12/Datos!K12,(Datos!L12+Datos!AB12)/(Datos!K12+Datos!AA12)))*11)/factor_trimestre," - ")</f>
        <v>8.2493049119555142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-1.282051282051282E-2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76</v>
      </c>
      <c r="O14" s="1199">
        <f t="shared" si="1"/>
        <v>0</v>
      </c>
      <c r="P14" s="1199">
        <f t="shared" si="1"/>
        <v>0</v>
      </c>
      <c r="Q14" s="1198">
        <f t="shared" si="1"/>
        <v>236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300</v>
      </c>
      <c r="AD14" s="1198">
        <f t="shared" si="2"/>
        <v>0</v>
      </c>
      <c r="AE14" s="1198">
        <f t="shared" si="2"/>
        <v>0</v>
      </c>
      <c r="AF14" s="1198">
        <f t="shared" si="2"/>
        <v>0</v>
      </c>
      <c r="AG14" s="1198">
        <f t="shared" si="2"/>
        <v>0</v>
      </c>
      <c r="AH14" s="1198">
        <f t="shared" si="2"/>
        <v>62</v>
      </c>
      <c r="AI14" s="1198">
        <f t="shared" si="2"/>
        <v>0</v>
      </c>
      <c r="AJ14" s="1198">
        <f t="shared" si="2"/>
        <v>0</v>
      </c>
      <c r="AK14" s="1198">
        <f t="shared" si="2"/>
        <v>0</v>
      </c>
      <c r="AL14" s="1198">
        <f t="shared" si="2"/>
        <v>0</v>
      </c>
      <c r="AM14" s="1198">
        <f t="shared" si="2"/>
        <v>4930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259</v>
      </c>
      <c r="BD14" s="1198">
        <f t="shared" si="2"/>
        <v>276</v>
      </c>
      <c r="BE14" s="1198">
        <f t="shared" si="2"/>
        <v>0</v>
      </c>
      <c r="BF14" s="1198">
        <f t="shared" si="2"/>
        <v>0</v>
      </c>
      <c r="BG14" s="1198">
        <f>IF(ISNUMBER(Datos!K14/Datos!J14),Datos!K14/Datos!J14," - ")</f>
        <v>1.1242873432155074</v>
      </c>
      <c r="BH14" s="1202">
        <f>IF(ISNUMBER(((Datos!L14/Datos!K14)*11)/factor_trimestre),((Datos!L14/Datos!K14)*11)/factor_trimestre," - ")</f>
        <v>8.8387423935091292</v>
      </c>
      <c r="BI14" s="1198">
        <f>IF(ISNUMBER('Resol  Asuntos'!D14/NºAsuntos!G14),'Resol  Asuntos'!D14/NºAsuntos!G14," - ")</f>
        <v>0.23981481481481481</v>
      </c>
      <c r="BJ14" s="1198" t="str">
        <f>IF(ISNUMBER(Datos!CI14/Datos!CJ14),Datos!CI14/Datos!CJ14," - ")</f>
        <v xml:space="preserve"> - </v>
      </c>
      <c r="BK14" s="1198">
        <f>SUBTOTAL(9,BK8:BK13)</f>
        <v>0</v>
      </c>
      <c r="BL14" s="1198" t="str">
        <f>IF(ISNUMBER((I14-AB14+L14)/(F14)),(I14-AB14+L14)/(F14)," - ")</f>
        <v xml:space="preserve"> - </v>
      </c>
      <c r="BM14" s="1203">
        <f>SUBTOTAL(9,BM9:BM13)</f>
        <v>-1.282051282051282E-2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1277</v>
      </c>
      <c r="G17" s="743">
        <f>IF(ISNUMBER(IF(D_I="SI",Datos!I17,Datos!I17+Datos!AC17)),IF(D_I="SI",Datos!I17,Datos!I17+Datos!AC17)," - ")</f>
        <v>1273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662</v>
      </c>
      <c r="AC17" s="240">
        <f>IF(ISNUMBER(Datos!Q17),Datos!Q17," - ")</f>
        <v>14</v>
      </c>
      <c r="AD17" s="374"/>
      <c r="AE17" s="562"/>
      <c r="AF17" s="741">
        <f>IF(ISNUMBER(IF(D_I="SI",Datos!L17,Datos!L17+Datos!AF17)),IF(D_I="SI",Datos!L17,Datos!L17+Datos!AF17)," - ")</f>
        <v>1430</v>
      </c>
      <c r="AG17" s="374"/>
      <c r="AH17" s="374"/>
      <c r="AI17" s="374"/>
      <c r="AJ17" s="549"/>
      <c r="AK17" s="374"/>
      <c r="AL17" s="545"/>
      <c r="AM17" s="375">
        <f>IF(ISNUMBER(Datos!R17),Datos!R17," - ")</f>
        <v>213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129</v>
      </c>
      <c r="BD17" s="243">
        <f>IF(ISNUMBER(Datos!N17),Datos!N17," - ")</f>
        <v>339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0.81226993865030672</v>
      </c>
      <c r="BH17" s="764">
        <f>IF(ISNUMBER(((IF(D_I="SI",Datos!L17/Datos!K17,(Datos!L17+Datos!AF17)/(Datos!K17+Datos!AE17)))*11)/factor_trimestre),((IF(D_I="SI",Datos!L17/Datos!K17,(Datos!L17+Datos!AF17)/(Datos!K17+Datos!AE17)))*11)/factor_trimestre," - ")</f>
        <v>6.4803625377643508</v>
      </c>
      <c r="BI17" s="266">
        <f>IF(ISNUMBER('Resol  Asuntos'!D17/NºAsuntos!G17),'Resol  Asuntos'!D17/NºAsuntos!G17," - ")</f>
        <v>0.19486404833836857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74</v>
      </c>
      <c r="AC18" s="547">
        <f>IF(ISNUMBER(Datos!Q18),Datos!Q18," - ")</f>
        <v>0</v>
      </c>
      <c r="AD18" s="549"/>
      <c r="AE18" s="562"/>
      <c r="AF18" s="551">
        <f>IF(ISNUMBER(Datos!L18),Datos!L18,"-")</f>
        <v>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54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1.0724637681159421</v>
      </c>
      <c r="BH18" s="764">
        <f>IF(ISNUMBER(((IF(D_I="SI",Datos!L18/Datos!K18,(Datos!L18+Datos!AF18)/(Datos!K18+Datos!AE18)))*11)/factor_trimestre),((IF(D_I="SI",Datos!L18/Datos!K18,(Datos!L18+Datos!AF18)/(Datos!K18+Datos!AE18)))*11)/factor_trimestre," - ")</f>
        <v>0.16216216216216217</v>
      </c>
      <c r="BI18" s="763">
        <f>IF(ISNUMBER('Resol  Asuntos'!D18/NºAsuntos!G18),'Resol  Asuntos'!D18/NºAsuntos!G18," - ")</f>
        <v>0.20270270270270271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1277</v>
      </c>
      <c r="G23" s="1197">
        <f>SUBTOTAL(9,G16:G22)</f>
        <v>1282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736</v>
      </c>
      <c r="AC23" s="1198">
        <f t="shared" si="5"/>
        <v>14</v>
      </c>
      <c r="AD23" s="1198">
        <f t="shared" si="5"/>
        <v>0</v>
      </c>
      <c r="AE23" s="1198">
        <f t="shared" si="5"/>
        <v>0</v>
      </c>
      <c r="AF23" s="1198">
        <f t="shared" si="5"/>
        <v>1434</v>
      </c>
      <c r="AG23" s="1198">
        <f t="shared" si="5"/>
        <v>0</v>
      </c>
      <c r="AH23" s="1198">
        <f t="shared" si="5"/>
        <v>0</v>
      </c>
      <c r="AI23" s="1198">
        <f t="shared" si="5"/>
        <v>0</v>
      </c>
      <c r="AJ23" s="1198">
        <f t="shared" si="5"/>
        <v>0</v>
      </c>
      <c r="AK23" s="1198">
        <f t="shared" si="5"/>
        <v>0</v>
      </c>
      <c r="AL23" s="1198">
        <f t="shared" si="5"/>
        <v>0</v>
      </c>
      <c r="AM23" s="1198">
        <f t="shared" si="5"/>
        <v>213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144</v>
      </c>
      <c r="BD23" s="1198">
        <f t="shared" si="5"/>
        <v>393</v>
      </c>
      <c r="BE23" s="1198">
        <f t="shared" si="5"/>
        <v>0</v>
      </c>
      <c r="BF23" s="1198">
        <f t="shared" si="5"/>
        <v>0</v>
      </c>
      <c r="BG23" s="1198">
        <f>IF(ISNUMBER(Datos!K23/Datos!J23),Datos!K23/Datos!J23," - ")</f>
        <v>0.83257918552036203</v>
      </c>
      <c r="BH23" s="1202">
        <f>IF(ISNUMBER(((Datos!L23/Datos!K23)*11)/factor_trimestre),((Datos!L23/Datos!K23)*11)/factor_trimestre," - ")</f>
        <v>5.8451086956521738</v>
      </c>
      <c r="BI23" s="1198">
        <f>SUBTOTAL(9,BI16:BI22)</f>
        <v>0.39756675104107131</v>
      </c>
      <c r="BJ23" s="1198">
        <f>SUBTOTAL(9,BJ16:BJ22)</f>
        <v>0</v>
      </c>
      <c r="BK23" s="1198">
        <f>SUBTOTAL(9,BK16:BK22)</f>
        <v>0</v>
      </c>
      <c r="BL23" s="1198">
        <f>IF(ISNUMBER((I23-AB23+L23)/(F23)),(I23-AB23+L23)/(F23)," - ")</f>
        <v>-0.57635082223962408</v>
      </c>
      <c r="BM23" s="1205">
        <f>IF(ISNUMBER((Datos!P23-Datos!Q23)/(Datos!R23-Datos!P23+Datos!Q23)),(Datos!P23-Datos!Q23)/(Datos!R23-Datos!P23+Datos!Q23)," - ")</f>
        <v>2.403846153846154E-2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1277</v>
      </c>
      <c r="G31" s="1117">
        <f t="shared" si="18"/>
        <v>1282</v>
      </c>
      <c r="H31" s="1119">
        <f t="shared" si="18"/>
        <v>0</v>
      </c>
      <c r="I31" s="1117">
        <f t="shared" si="18"/>
        <v>0</v>
      </c>
      <c r="J31" s="1119">
        <f t="shared" si="18"/>
        <v>0</v>
      </c>
      <c r="K31" s="1119">
        <f t="shared" si="18"/>
        <v>0</v>
      </c>
      <c r="L31" s="1180">
        <f t="shared" si="18"/>
        <v>0</v>
      </c>
      <c r="M31" s="1180">
        <f t="shared" si="18"/>
        <v>0</v>
      </c>
      <c r="N31" s="1180">
        <f t="shared" si="18"/>
        <v>76</v>
      </c>
      <c r="O31" s="1180">
        <f t="shared" si="18"/>
        <v>0</v>
      </c>
      <c r="P31" s="1180">
        <f t="shared" si="18"/>
        <v>0</v>
      </c>
      <c r="Q31" s="1119">
        <f t="shared" si="18"/>
        <v>255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737</v>
      </c>
      <c r="AC31" s="1118">
        <f t="shared" si="19"/>
        <v>314</v>
      </c>
      <c r="AD31" s="1118">
        <f t="shared" si="19"/>
        <v>0</v>
      </c>
      <c r="AE31" s="1118">
        <f t="shared" si="19"/>
        <v>0</v>
      </c>
      <c r="AF31" s="1125">
        <f t="shared" si="19"/>
        <v>1434</v>
      </c>
      <c r="AG31" s="1125">
        <f t="shared" si="19"/>
        <v>0</v>
      </c>
      <c r="AH31" s="1125">
        <f t="shared" si="19"/>
        <v>62</v>
      </c>
      <c r="AI31" s="1125">
        <f t="shared" si="19"/>
        <v>0</v>
      </c>
      <c r="AJ31" s="1118">
        <f t="shared" si="19"/>
        <v>0</v>
      </c>
      <c r="AK31" s="1125">
        <f t="shared" si="19"/>
        <v>0</v>
      </c>
      <c r="AL31" s="1125">
        <f t="shared" si="19"/>
        <v>0</v>
      </c>
      <c r="AM31" s="1125">
        <f t="shared" si="19"/>
        <v>5143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403</v>
      </c>
      <c r="BD31" s="1117">
        <f t="shared" si="19"/>
        <v>669</v>
      </c>
      <c r="BE31" s="1117">
        <f t="shared" si="19"/>
        <v>0</v>
      </c>
      <c r="BF31" s="1127">
        <f t="shared" si="19"/>
        <v>0</v>
      </c>
      <c r="BG31" s="1223">
        <f>IF(ISNUMBER(Datos!K31/Datos!J31),Datos!K31/Datos!J31," - ")</f>
        <v>0.97785349233390118</v>
      </c>
      <c r="BH31" s="1223">
        <f>IF(ISNUMBER(((Datos!L31/Datos!K31)*11)/factor_trimestre),((Datos!L31/Datos!K31)*11)/factor_trimestre," - ")</f>
        <v>7.559233449477353</v>
      </c>
      <c r="BI31" s="1103">
        <f>IF(ISNUMBER(Datos!J31/Datos!I31),Datos!J31/Datos!I31," - ")</f>
        <v>0.40991620111731841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-0.57713390759592798</v>
      </c>
      <c r="BM31" s="1188">
        <f>IF(ISNUMBER((Datos!P31-Datos!Q31+R31)/(Datos!R31-Datos!P31+Datos!Q31-R31)),(Datos!P31-Datos!Q31+R31)/(Datos!R31-Datos!P31+Datos!Q31-R31)," - ")</f>
        <v>-1.1341791618608228E-2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366.28571428571428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659.4399644142494</v>
      </c>
      <c r="G33" s="674">
        <f>IF(ISNUMBER(STDEV(G8:G30)),STDEV(G8:G30),"-")</f>
        <v>622.49195825748473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335.41906979322505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113.74124770096128</v>
      </c>
      <c r="BD33" s="673"/>
      <c r="BE33" s="673">
        <f>IF(ISNUMBER(STDEV(BE8:BE30)),STDEV(BE8:BE30),"-")</f>
        <v>0</v>
      </c>
      <c r="BF33" s="678">
        <f>IF(ISNUMBER(STDEV(BF8:BF30)),STDEV(BF8:BF30),"-")</f>
        <v>0</v>
      </c>
      <c r="BG33" s="1052">
        <f>IF(ISNUMBER(STDEV(BG8:BG30)),STDEV(BG8:BG30),"-")</f>
        <v>0.1425924027088655</v>
      </c>
      <c r="BH33" s="1058">
        <f>IF(ISNUMBER(STDEV(BH8:BH30)),STDEV(BH8:BH30),"-")</f>
        <v>3.9134198512103571</v>
      </c>
      <c r="BI33" s="273">
        <f>IF(ISNUMBER(STDEV(BI8:BI30)),STDEV(BI8:BI30),"-")</f>
        <v>9.460680964541987E-2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a6R+cD9BM0p9v3IEoLe9iUCWfEtTo+j4xlLyplgWkmiDllsLd1J1o+MVbl/J3QT/zIGmE90SNWnwz4l4RC/Cqw==" saltValue="H5onL9TiPZcQTnSLDvl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UTRERA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0</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300</v>
      </c>
      <c r="AA12" s="551" t="str">
        <f>IF(ISNUMBER(IF(J_V="SI",Datos!L12,Datos!L12+Datos!AB12)-IF(Monitorios="SI",Datos!CD12,0)),
                          IF(J_V="SI",Datos!L12,Datos!L12+Datos!AB12)-IF(Monitorios="SI",Datos!CD12,0),
                          " - ")</f>
        <v xml:space="preserve"> - </v>
      </c>
      <c r="AB12" s="549"/>
      <c r="AC12" s="549"/>
      <c r="AD12" s="563"/>
      <c r="AE12" s="563">
        <f>IF(ISNUMBER(Datos!R12),Datos!R12," - ")</f>
        <v>4928</v>
      </c>
      <c r="AF12" s="693" t="str">
        <f>IF(ISNUMBER(Datos!BV12),Datos!BV12," - ")</f>
        <v xml:space="preserve"> - </v>
      </c>
      <c r="AG12" s="552" t="str">
        <f>IF(ISNUMBER(Datos!DV12),Datos!DV12," - ")</f>
        <v xml:space="preserve"> - </v>
      </c>
      <c r="AH12" s="553"/>
      <c r="AI12" s="554"/>
      <c r="AJ12" s="552">
        <f>IF(ISNUMBER(Datos!M12),Datos!M12," - ")</f>
        <v>259</v>
      </c>
      <c r="AK12" s="693">
        <f>IF(ISNUMBER(Datos!N12),Datos!N12," - ")</f>
        <v>276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8.2493049119555142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-1.282051282051282E-2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236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300</v>
      </c>
      <c r="AA14" s="1199">
        <f t="shared" si="3"/>
        <v>0</v>
      </c>
      <c r="AB14" s="1199">
        <f t="shared" si="3"/>
        <v>0</v>
      </c>
      <c r="AC14" s="1199">
        <f t="shared" si="3"/>
        <v>0</v>
      </c>
      <c r="AD14" s="1199">
        <f t="shared" si="3"/>
        <v>0</v>
      </c>
      <c r="AE14" s="1199">
        <f t="shared" si="3"/>
        <v>4930</v>
      </c>
      <c r="AF14" s="1211">
        <f t="shared" si="3"/>
        <v>0</v>
      </c>
      <c r="AG14" s="1211">
        <f t="shared" si="3"/>
        <v>0</v>
      </c>
      <c r="AH14" s="1211">
        <f t="shared" si="3"/>
        <v>0</v>
      </c>
      <c r="AI14" s="1211">
        <f t="shared" si="3"/>
        <v>0</v>
      </c>
      <c r="AJ14" s="1211">
        <f t="shared" si="3"/>
        <v>259</v>
      </c>
      <c r="AK14" s="1211">
        <f t="shared" si="3"/>
        <v>276</v>
      </c>
      <c r="AL14" s="1211">
        <f t="shared" si="3"/>
        <v>0</v>
      </c>
      <c r="AM14" s="1211">
        <f t="shared" si="3"/>
        <v>0</v>
      </c>
      <c r="AN14" s="1211">
        <f t="shared" si="3"/>
        <v>0</v>
      </c>
      <c r="AO14" s="1203">
        <f>IF(ISNUMBER(((NºAsuntos!I14/NºAsuntos!G14)*11)/factor_trimestre),((NºAsuntos!I14/NºAsuntos!G14)*11)/factor_trimestre," - ")</f>
        <v>8.2416666666666671</v>
      </c>
      <c r="AP14" s="1213" t="str">
        <f>IF(ISNUMBER(Datos!CI14/Datos!CJ14),Datos!CI14/Datos!CJ14," - ")</f>
        <v xml:space="preserve"> - </v>
      </c>
      <c r="AQ14" s="1236">
        <f t="shared" ref="AQ14:AV14" si="4">SUBTOTAL(9,AQ9:AQ13)</f>
        <v>0</v>
      </c>
      <c r="AR14" s="1236">
        <f t="shared" si="4"/>
        <v>-1.282051282051282E-2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1277</v>
      </c>
      <c r="G17" s="552">
        <f>IF(ISNUMBER(IF(D_I="SI",Datos!I17,Datos!I17+Datos!AC17)),IF(D_I="SI",Datos!I17,Datos!I17+Datos!AC17)," - ")</f>
        <v>1273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662</v>
      </c>
      <c r="Z17" s="805">
        <f>IF(ISNUMBER(Datos!Q17),Datos!Q17," - ")</f>
        <v>14</v>
      </c>
      <c r="AA17" s="551">
        <f>IF(ISNUMBER(IF(D_I="SI",Datos!L17,Datos!L17+Datos!AF17)),IF(D_I="SI",Datos!L17,Datos!L17+Datos!AF17)," - ")</f>
        <v>1430</v>
      </c>
      <c r="AB17" s="549"/>
      <c r="AC17" s="549"/>
      <c r="AD17" s="563"/>
      <c r="AE17" s="563">
        <f>IF(ISNUMBER(Datos!R17),Datos!R17," - ")</f>
        <v>213</v>
      </c>
      <c r="AF17" s="693" t="str">
        <f>IF(ISNUMBER(Datos!BV17),Datos!BV17," - ")</f>
        <v xml:space="preserve"> - </v>
      </c>
      <c r="AG17" s="552"/>
      <c r="AH17" s="553"/>
      <c r="AI17" s="554"/>
      <c r="AJ17" s="552">
        <f>IF(ISNUMBER(Datos!M17),Datos!M17," - ")</f>
        <v>129</v>
      </c>
      <c r="AK17" s="693">
        <f>IF(ISNUMBER(Datos!N17),Datos!N17," - ")</f>
        <v>339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6.4803625377643508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74</v>
      </c>
      <c r="Z18" s="805">
        <f>IF(ISNUMBER(Datos!Q18),Datos!Q18," - ")</f>
        <v>0</v>
      </c>
      <c r="AA18" s="551">
        <f>IF(ISNUMBER(Datos!L18),Datos!L18,"-")</f>
        <v>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15</v>
      </c>
      <c r="AK18" s="693">
        <f>IF(ISNUMBER(Datos!N18),Datos!N18," - ")</f>
        <v>54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0.16216216216216217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1277</v>
      </c>
      <c r="G23" s="1197">
        <f>SUBTOTAL(9,G16:G22)</f>
        <v>1282</v>
      </c>
      <c r="H23" s="1240">
        <f>SUBTOTAL(9,H16:H22)</f>
        <v>0</v>
      </c>
      <c r="I23" s="1217">
        <f>SUBTOTAL(9,I16:I22)</f>
        <v>0</v>
      </c>
      <c r="J23" s="1164">
        <f>SUBTOTAL(9,J15:J22)</f>
        <v>0</v>
      </c>
      <c r="K23" s="1240">
        <f t="shared" ref="K23:S23" si="5">SUBTOTAL(9,K16:K22)</f>
        <v>0</v>
      </c>
      <c r="L23" s="1240">
        <f t="shared" si="5"/>
        <v>0</v>
      </c>
      <c r="M23" s="1240">
        <f t="shared" si="5"/>
        <v>0</v>
      </c>
      <c r="N23" s="1240">
        <f t="shared" si="5"/>
        <v>19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736</v>
      </c>
      <c r="Z23" s="1240">
        <f t="shared" si="6"/>
        <v>14</v>
      </c>
      <c r="AA23" s="1240">
        <f t="shared" si="6"/>
        <v>1434</v>
      </c>
      <c r="AB23" s="1240">
        <f t="shared" si="6"/>
        <v>0</v>
      </c>
      <c r="AC23" s="1240">
        <f t="shared" si="6"/>
        <v>0</v>
      </c>
      <c r="AD23" s="1240">
        <f t="shared" si="6"/>
        <v>0</v>
      </c>
      <c r="AE23" s="1240">
        <f t="shared" si="6"/>
        <v>213</v>
      </c>
      <c r="AF23" s="1240">
        <f t="shared" si="6"/>
        <v>0</v>
      </c>
      <c r="AG23" s="1240">
        <f t="shared" si="6"/>
        <v>0</v>
      </c>
      <c r="AH23" s="1240">
        <f t="shared" si="6"/>
        <v>0</v>
      </c>
      <c r="AI23" s="1240">
        <f t="shared" si="6"/>
        <v>0</v>
      </c>
      <c r="AJ23" s="1240">
        <f t="shared" si="6"/>
        <v>144</v>
      </c>
      <c r="AK23" s="1240">
        <f t="shared" si="6"/>
        <v>393</v>
      </c>
      <c r="AL23" s="1240">
        <f t="shared" si="6"/>
        <v>0</v>
      </c>
      <c r="AM23" s="1240">
        <f t="shared" si="6"/>
        <v>0</v>
      </c>
      <c r="AN23" s="1240">
        <f t="shared" si="6"/>
        <v>0</v>
      </c>
      <c r="AO23" s="1242">
        <f>IF(ISNUMBER(((NºAsuntos!I23/NºAsuntos!G23)*11)/factor_trimestre),((NºAsuntos!I23/NºAsuntos!G23)*11)/factor_trimestre," - ")</f>
        <v>5.8451086956521738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1277</v>
      </c>
      <c r="G31" s="1117">
        <f t="shared" si="12"/>
        <v>1282</v>
      </c>
      <c r="H31" s="1118">
        <f t="shared" si="12"/>
        <v>0</v>
      </c>
      <c r="I31" s="1117">
        <f t="shared" si="12"/>
        <v>0</v>
      </c>
      <c r="J31" s="1119">
        <f t="shared" si="12"/>
        <v>0</v>
      </c>
      <c r="K31" s="1117">
        <f t="shared" si="12"/>
        <v>0</v>
      </c>
      <c r="L31" s="1120">
        <f t="shared" si="12"/>
        <v>0</v>
      </c>
      <c r="M31" s="1117">
        <f t="shared" si="12"/>
        <v>0</v>
      </c>
      <c r="N31" s="1118">
        <f t="shared" si="12"/>
        <v>255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737</v>
      </c>
      <c r="Z31" s="1124">
        <f t="shared" si="13"/>
        <v>314</v>
      </c>
      <c r="AA31" s="1125">
        <f t="shared" si="13"/>
        <v>1434</v>
      </c>
      <c r="AB31" s="1125">
        <f t="shared" si="13"/>
        <v>0</v>
      </c>
      <c r="AC31" s="1125">
        <f t="shared" si="13"/>
        <v>0</v>
      </c>
      <c r="AD31" s="1126">
        <f t="shared" si="13"/>
        <v>0</v>
      </c>
      <c r="AE31" s="1126">
        <f t="shared" si="13"/>
        <v>5143</v>
      </c>
      <c r="AF31" s="1127">
        <f t="shared" si="13"/>
        <v>0</v>
      </c>
      <c r="AG31" s="1128">
        <f t="shared" si="13"/>
        <v>0</v>
      </c>
      <c r="AH31" s="1129">
        <f t="shared" si="13"/>
        <v>0</v>
      </c>
      <c r="AI31" s="1127">
        <f t="shared" si="13"/>
        <v>0</v>
      </c>
      <c r="AJ31" s="1117">
        <f t="shared" si="13"/>
        <v>403</v>
      </c>
      <c r="AK31" s="1117">
        <f t="shared" si="13"/>
        <v>669</v>
      </c>
      <c r="AL31" s="1117">
        <f t="shared" si="13"/>
        <v>0</v>
      </c>
      <c r="AM31" s="1130">
        <f t="shared" si="13"/>
        <v>0</v>
      </c>
      <c r="AN31" s="1120">
        <f>IF(ISNUMBER(Datos!K31/Datos!J31),Datos!K31/Datos!J31," - ")</f>
        <v>0.97785349233390118</v>
      </c>
      <c r="AO31" s="1120">
        <f>IF(ISNUMBER(FIND("06",Criterios!A8,1)),(IF(ISNUMBER(((Datos!R31/Datos!Q31)*11)/factor_trimestre),((Datos!R31/Datos!Q31)*11)/factor_trimestre," - ")),(IF(ISNUMBER(((Datos!L31/Datos!K31)*11)/factor_trimestre),((Datos!L31/Datos!K31)*11)/factor_trimestre," - ")))</f>
        <v>7.559233449477353</v>
      </c>
      <c r="AP31" s="1131" t="str">
        <f>IF(ISNUMBER(Datos!CI31/Datos!CJ31),Datos!CI31/Datos!CJ31," - ")</f>
        <v xml:space="preserve"> - </v>
      </c>
      <c r="AQ31" s="1131">
        <f>IF(OR(ISNUMBER(FIND("01",Criterios!A8,1)),ISNUMBER(FIND("02",Criterios!A8,1)),ISNUMBER(FIND("03",Criterios!A8,1)),ISNUMBER(FIND("04",Criterios!A8,1))),(J31-Y31+K31)/(F31-K31),(I31-Y31+K31)/(F31-K31))</f>
        <v>-0.57713390759592798</v>
      </c>
      <c r="AR31" s="1131">
        <f>IF(ISNUMBER((Datos!P31-Datos!Q31+O31)/(Datos!R31-Datos!P31+Datos!Q31-O31)),(Datos!P31-Datos!Q31+O31)/(Datos!R31-Datos!P31+Datos!Q31-O31)," - ")</f>
        <v>-1.1341791618608228E-2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366.28571428571428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659.4399644142494</v>
      </c>
      <c r="G33" s="674">
        <f>IF(ISNUMBER(STDEV(G8:G30)),STDEV(G8:G30),"-")</f>
        <v>622.49195825748473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113.74124770096128</v>
      </c>
      <c r="AK33" s="276"/>
      <c r="AL33" s="276">
        <f>IF(ISNUMBER(STDEV(AL8:AL30)),STDEV(AL8:AL30),"-")</f>
        <v>0</v>
      </c>
      <c r="AM33" s="278">
        <f>IF(ISNUMBER(STDEV(AM8:AM30)),STDEV(AM8:AM30),"-")</f>
        <v>0</v>
      </c>
      <c r="AN33" s="660">
        <f>IF(ISNUMBER(STDEV(AN8:AN30)),STDEV(AN8:AN30),"-")</f>
        <v>0</v>
      </c>
      <c r="AO33" s="661">
        <f>IF(ISNUMBER(STDEV(AO8:AO30)),STDEV(AO8:AO30),"-")</f>
        <v>3.8000754584985117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VbnXxwGbuzMBdA5m3tkUdm30h6KbosR79GR1R65GzRQKYVJQdrQImutV+xcqcnXLL/5pBeeBtcngRtj4EhfAXw==" saltValue="8YKQ1GkXN9hvl7AZnh02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rG4ipkkrcsrHjTQJs6/PQVS8WJGVf0uhFy6pElj+7MB+WQE2p1XpsW+/Szt89X6RCAp8XxHrn3D1ANPyRHLGg==" saltValue="DqZnOLuUyXZ/cPDnE3WY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e2K6tvVGqW2H7TZSJ186mrBRb4L++7MwIUmvQKYHYk1CmllTbYCvQDVG6+UOrDghSapYRMONMjVArR/OP66Pg==" saltValue="LUxEwV1h+3mO13ZZcPHZX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UTRERA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0.23981481481481481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0.16957468178455168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JGxHOacWkOFV1hIrHTyaqa9dp3X9D+b0HzJv7ANrVYPgn2ajEP/TGD+Mzwn666//0iK6R3Mj9jm+87BoBEuGMg==" saltValue="WThSt6FNpdcyglgyTFC5X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NBsix/vFTA3OxuRJBS7DwgYFrBG/0Dz062Z6MoWA2LnBvwoPEPfU/gnZRI6ohjaIuj3CZdL/DYa8Z/g0uolhQ==" saltValue="diAj8W2dhlLFkWDwXMhg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UTRERA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1</v>
      </c>
      <c r="H10" s="452">
        <f>IF(ISNUMBER(G10/B10),G10/B10," - ")</f>
        <v>1</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3094</v>
      </c>
      <c r="D12" s="452">
        <f>IF(ISNUMBER(C12/Datos!BH12),C12/Datos!BH12," - ")</f>
        <v>773.5</v>
      </c>
      <c r="E12" s="451">
        <f>IF(ISNUMBER(IF(J_V="SI",Datos!J12,Datos!J12+Datos!Z12)),IF(J_V="SI",Datos!J12,Datos!J12+Datos!Z12)," - ")</f>
        <v>952</v>
      </c>
      <c r="F12" s="452">
        <f>IF(ISNUMBER(E12/B12),E12/B12," - ")</f>
        <v>238</v>
      </c>
      <c r="G12" s="451">
        <f>IF(ISNUMBER(IF(J_V="SI",Datos!K12,Datos!K12+Datos!AA12)),IF(J_V="SI",Datos!K12,Datos!K12+Datos!AA12)," - ")</f>
        <v>1079</v>
      </c>
      <c r="H12" s="452">
        <f>IF(ISNUMBER(G12/B12),G12/B12," - ")</f>
        <v>269.75</v>
      </c>
      <c r="I12" s="451">
        <f>IF(ISNUMBER(IF(J_V="SI",Datos!L12,Datos!L12+Datos!AB12)),IF(J_V="SI",Datos!L12,Datos!L12+Datos!AB12)," - ")</f>
        <v>2967</v>
      </c>
      <c r="J12" s="452">
        <f>IF(ISNUMBER(I12/B12),I12/B12," - ")</f>
        <v>741.75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3094</v>
      </c>
      <c r="D14" s="1147" t="str">
        <f>IF(ISNUMBER(C14/Datos!BI14),C14/Datos!BI14," - ")</f>
        <v xml:space="preserve"> - </v>
      </c>
      <c r="E14" s="1146">
        <f>SUBTOTAL(9,E8:E13)</f>
        <v>953</v>
      </c>
      <c r="F14" s="1147">
        <f>IF(ISNUMBER(E14/B14),E14/B14," - ")</f>
        <v>238.25</v>
      </c>
      <c r="G14" s="1146">
        <f>SUBTOTAL(9,G8:G13)</f>
        <v>1080</v>
      </c>
      <c r="H14" s="1147">
        <f>IF(ISNUMBER(G14/B14),G14/B14," - ")</f>
        <v>270</v>
      </c>
      <c r="I14" s="1146">
        <f>SUBTOTAL(9,I8:I13)</f>
        <v>2967</v>
      </c>
      <c r="J14" s="1147">
        <f>IF(ISNUMBER(I14/B14),I14/B14," - ")</f>
        <v>741.75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1273</v>
      </c>
      <c r="D17" s="452">
        <f>IF(ISNUMBER(C17/Datos!BH17),C17/Datos!BH17," - ")</f>
        <v>318.25</v>
      </c>
      <c r="E17" s="451">
        <f>IF(ISNUMBER(IF(D_I="SI",Datos!J17,Datos!J17+Datos!AD17)),IF(D_I="SI",Datos!J17,Datos!J17+Datos!AD17)," - ")</f>
        <v>815</v>
      </c>
      <c r="F17" s="452">
        <f>IF(ISNUMBER(E17/B17),E17/B17," - ")</f>
        <v>203.75</v>
      </c>
      <c r="G17" s="451">
        <f>IF(ISNUMBER(IF(D_I="SI",Datos!K17,Datos!K17+Datos!AE17)),IF(D_I="SI",Datos!K17,Datos!K17+Datos!AE17)," - ")</f>
        <v>662</v>
      </c>
      <c r="H17" s="452">
        <f>IF(ISNUMBER(G17/B17),G17/B17," - ")</f>
        <v>165.5</v>
      </c>
      <c r="I17" s="451">
        <f>IF(ISNUMBER(IF(D_I="SI",Datos!L17,Datos!L17+Datos!AF17)),IF(D_I="SI",Datos!L17,Datos!L17+Datos!AF17)," - ")</f>
        <v>1430</v>
      </c>
      <c r="J17" s="452">
        <f>IF(ISNUMBER(I17/B17),I17/B17," - ")</f>
        <v>357.5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v>
      </c>
      <c r="D18" s="452">
        <f>IF(ISNUMBER(C18/Datos!BH18),C18/Datos!BH18," - ")</f>
        <v>9</v>
      </c>
      <c r="E18" s="451">
        <f>IF(ISNUMBER(IF(D_I="SI",Datos!J18,Datos!J18+Datos!AD18)),IF(D_I="SI",Datos!J18,Datos!J18+Datos!AD18)," - ")</f>
        <v>69</v>
      </c>
      <c r="F18" s="452">
        <f>IF(ISNUMBER(E18/B18),E18/B18," - ")</f>
        <v>69</v>
      </c>
      <c r="G18" s="451">
        <f>IF(ISNUMBER(IF(D_I="SI",Datos!K18,Datos!K18+Datos!AE18)),IF(D_I="SI",Datos!K18,Datos!K18+Datos!AE18)," - ")</f>
        <v>74</v>
      </c>
      <c r="H18" s="452">
        <f>IF(ISNUMBER(G18/B18),G18/B18," - ")</f>
        <v>74</v>
      </c>
      <c r="I18" s="451">
        <f>IF(ISNUMBER(IF(D_I="SI",Datos!L18,Datos!L18+Datos!AF18)),IF(D_I="SI",Datos!L18,Datos!L18+Datos!AF18)," - ")</f>
        <v>4</v>
      </c>
      <c r="J18" s="452">
        <f>IF(ISNUMBER(I18/B18),I18/B18," - ")</f>
        <v>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1282</v>
      </c>
      <c r="D23" s="1147" t="str">
        <f>IF(ISNUMBER(C23/Datos!BI23),C23/Datos!BI23," - ")</f>
        <v xml:space="preserve"> - </v>
      </c>
      <c r="E23" s="1146">
        <f>SUBTOTAL(9,E15:E22)</f>
        <v>884</v>
      </c>
      <c r="F23" s="1147">
        <f>IF(ISNUMBER(E23/B23),E23/B23," - ")</f>
        <v>221</v>
      </c>
      <c r="G23" s="1146">
        <f>SUBTOTAL(9,G15:G22)</f>
        <v>736</v>
      </c>
      <c r="H23" s="1147">
        <f>IF(ISNUMBER(G23/B23),G23/B23," - ")</f>
        <v>184</v>
      </c>
      <c r="I23" s="1146">
        <f>SUBTOTAL(9,I15:I22)</f>
        <v>1434</v>
      </c>
      <c r="J23" s="1147">
        <f>IF(ISNUMBER(I23/B23),I23/B23," - ")</f>
        <v>358.5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4376</v>
      </c>
      <c r="D31" s="1085" t="str">
        <f>IF(ISNUMBER(C31/Datos!BI31),C31/Datos!BI31," - ")</f>
        <v xml:space="preserve"> - </v>
      </c>
      <c r="E31" s="1084">
        <f>SUBTOTAL(9,E9:E30)</f>
        <v>1837</v>
      </c>
      <c r="F31" s="1085">
        <f>IF(ISNUMBER(E31/B31),E31/B31," - ")</f>
        <v>459.25</v>
      </c>
      <c r="G31" s="1084">
        <f>SUBTOTAL(9,G9:G30)</f>
        <v>1816</v>
      </c>
      <c r="H31" s="1085">
        <f>IF(ISNUMBER(G31/B31),G31/B31," - ")</f>
        <v>454</v>
      </c>
      <c r="I31" s="1084">
        <f>SUBTOTAL(9,I9:I30)</f>
        <v>4401</v>
      </c>
      <c r="J31" s="1085">
        <f>IF(ISNUMBER(I31/B31),I31/B31," - ")</f>
        <v>1100.25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xWJPRD9ysiQSEwCHZpT7CchCNw8ej0U8tlnrHcFLeEO759u7nWgUltm8QrL3p+Buhwe95bus+/DKOs0z/5cjrg==" saltValue="VIw5I5WRxX9mrNupr6oq2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UTRERA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300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4928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259</v>
      </c>
      <c r="AM12" s="914">
        <f>IF(ISNUMBER(Datos!N12+DatosP!N17),Datos!N12+DatosP!N17," - ")</f>
        <v>276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8.2493049119555142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-1.282051282051282E-2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236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300</v>
      </c>
      <c r="AE14" s="1257">
        <f t="shared" si="1"/>
        <v>0</v>
      </c>
      <c r="AF14" s="1257">
        <f t="shared" si="1"/>
        <v>0</v>
      </c>
      <c r="AG14" s="1257">
        <f t="shared" si="1"/>
        <v>0</v>
      </c>
      <c r="AH14" s="1257">
        <f t="shared" si="1"/>
        <v>4928</v>
      </c>
      <c r="AI14" s="1257">
        <f t="shared" si="1"/>
        <v>0</v>
      </c>
      <c r="AJ14" s="1257">
        <f t="shared" si="1"/>
        <v>0</v>
      </c>
      <c r="AK14" s="1257">
        <f t="shared" si="1"/>
        <v>0</v>
      </c>
      <c r="AL14" s="1257">
        <f t="shared" si="1"/>
        <v>259</v>
      </c>
      <c r="AM14" s="1257">
        <f t="shared" si="1"/>
        <v>276</v>
      </c>
      <c r="AN14" s="1257">
        <f t="shared" si="1"/>
        <v>0</v>
      </c>
      <c r="AO14" s="1257">
        <f t="shared" si="1"/>
        <v>0</v>
      </c>
      <c r="AP14" s="1262">
        <f>IF(ISNUMBER(((Datos!L14/Datos!K14)*11)/factor_trimestre),((Datos!L14/Datos!K14)*11)/factor_trimestre," - ")</f>
        <v>8.8387423935091292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-1.282051282051282E-2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5.8451086956521738</v>
      </c>
      <c r="AQ23" s="1262">
        <f>IF(ISNUMBER(((Datos!M23/Datos!L23)*11)/factor_trimestre),((Datos!M23/Datos!L23)*11)/factor_trimestre," - ")</f>
        <v>0.30125523012552302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2.403846153846154E-2</v>
      </c>
      <c r="AW23" s="1265">
        <f>IF(ISNUMBER((Datos!Q23-Datos!R23)/(Datos!S23-Datos!Q23+Datos!R23)),(Datos!Q23-Datos!R23)/(Datos!S23-Datos!Q23+Datos!R23)," - ")</f>
        <v>-0.11880597014925373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236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300</v>
      </c>
      <c r="AE31" s="1284">
        <f t="shared" si="9"/>
        <v>0</v>
      </c>
      <c r="AF31" s="1285">
        <f t="shared" si="9"/>
        <v>0</v>
      </c>
      <c r="AG31" s="1285">
        <f t="shared" si="9"/>
        <v>0</v>
      </c>
      <c r="AH31" s="1285">
        <f t="shared" si="9"/>
        <v>4928</v>
      </c>
      <c r="AI31" s="1285">
        <f t="shared" si="9"/>
        <v>0</v>
      </c>
      <c r="AJ31" s="1286">
        <f t="shared" si="9"/>
        <v>0</v>
      </c>
      <c r="AK31" s="1286">
        <f t="shared" si="9"/>
        <v>0</v>
      </c>
      <c r="AL31" s="1278">
        <f t="shared" si="9"/>
        <v>259</v>
      </c>
      <c r="AM31" s="1278">
        <f t="shared" si="9"/>
        <v>276</v>
      </c>
      <c r="AN31" s="1278">
        <f t="shared" si="9"/>
        <v>0</v>
      </c>
      <c r="AO31" s="1278">
        <f t="shared" si="9"/>
        <v>0</v>
      </c>
      <c r="AP31" s="1278">
        <f>IF(ISNUMBER(((Datos!L31/Datos!K31)*11)/factor_trimestre),((Datos!L31/Datos!K31)*11)/factor_trimestre," - ")</f>
        <v>7.559233449477353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-1.1341791618608228E-2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133.74702488902949</v>
      </c>
      <c r="AM33" s="1006"/>
      <c r="AN33" s="1006">
        <f>IF(ISNUMBER(STDEV(AN8:AN30)),STDEV(AN8:AN30),"-")</f>
        <v>0</v>
      </c>
      <c r="AO33" s="1012">
        <f>IF(ISNUMBER(STDEV(AO8:AO30)),STDEV(AO8:AO30),"-")</f>
        <v>0</v>
      </c>
      <c r="AP33" s="1065">
        <f>IF(ISNUMBER(STDEV(AP8:AP30)),STDEV(AP8:AP30),"-")</f>
        <v>4.0355620529788041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PEvyPMlhoJvBlRYMABH10Bt9PiY1sTQH2yHra5po8vkOW0KLnHfqIjQtyppD11QfclHmdoBg9fBaryepY6ajHw==" saltValue="Qh6nHJGqpAMbBxUthVCN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UTRERA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5yuneaEULYu9idGZcIGDVnfyD8KB9NiRSC2eXBgyV4lcmBQkMrMzGkbBf9UYbzdmpBtjZ1PMDNJjJAsp1rmpA==" saltValue="PM07uYWW5JDhwRXKwS5Li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UTRERA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259</v>
      </c>
      <c r="E12" s="452">
        <f t="shared" si="0"/>
        <v>64.75</v>
      </c>
      <c r="F12" s="451">
        <f>IF(ISNUMBER(Datos!N12),Datos!N12," - ")</f>
        <v>276</v>
      </c>
      <c r="G12" s="452">
        <f t="shared" si="1"/>
        <v>69</v>
      </c>
      <c r="H12" s="451">
        <f>IF(ISNUMBER(Datos!O12),Datos!O12," - ")</f>
        <v>460</v>
      </c>
      <c r="I12" s="452">
        <f t="shared" si="2"/>
        <v>115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259</v>
      </c>
      <c r="E14" s="1147">
        <f t="shared" si="0"/>
        <v>51.8</v>
      </c>
      <c r="F14" s="1146">
        <f>SUBTOTAL(9,F9:F13)</f>
        <v>276</v>
      </c>
      <c r="G14" s="1147">
        <f t="shared" si="1"/>
        <v>55.2</v>
      </c>
      <c r="H14" s="1146">
        <f>SUBTOTAL(9,H9:H13)</f>
        <v>460</v>
      </c>
      <c r="I14" s="1147">
        <f>IF(ISNUMBER(H14/B14),H14/B14," - ")</f>
        <v>92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129</v>
      </c>
      <c r="E17" s="452">
        <f t="shared" si="3"/>
        <v>32.25</v>
      </c>
      <c r="F17" s="451">
        <f>IF(ISNUMBER(Datos!N17),Datos!N17," - ")</f>
        <v>339</v>
      </c>
      <c r="G17" s="452">
        <f t="shared" si="4"/>
        <v>84.75</v>
      </c>
      <c r="H17" s="451">
        <f>IF(ISNUMBER(Datos!O17),Datos!O17," - ")</f>
        <v>1</v>
      </c>
      <c r="I17" s="452">
        <f t="shared" si="5"/>
        <v>0.25</v>
      </c>
    </row>
    <row r="18" spans="1:9">
      <c r="A18" s="450" t="str">
        <f>Datos!A18</f>
        <v>Jdos. Violencia contra la mujer</v>
      </c>
      <c r="B18" s="480">
        <f>Datos!AO18</f>
        <v>1</v>
      </c>
      <c r="C18" s="481">
        <f>Datos!AQ18</f>
        <v>0</v>
      </c>
      <c r="D18" s="451">
        <f>IF(ISNUMBER(Datos!M18),Datos!M18," - ")</f>
        <v>15</v>
      </c>
      <c r="E18" s="452">
        <f>IF(ISNUMBER(D18/B18),D18/B18," - ")</f>
        <v>15</v>
      </c>
      <c r="F18" s="451">
        <f>IF(ISNUMBER(Datos!N18),Datos!N18," - ")</f>
        <v>54</v>
      </c>
      <c r="G18" s="452">
        <f>IF(ISNUMBER(F18/B18),F18/B18," - ")</f>
        <v>54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144</v>
      </c>
      <c r="E23" s="1147">
        <f t="shared" si="3"/>
        <v>28.8</v>
      </c>
      <c r="F23" s="1146">
        <f>SUBTOTAL(9,F16:F22)</f>
        <v>393</v>
      </c>
      <c r="G23" s="1147">
        <f t="shared" si="4"/>
        <v>78.599999999999994</v>
      </c>
      <c r="H23" s="1146">
        <f>SUBTOTAL(9,H16:H22)</f>
        <v>1</v>
      </c>
      <c r="I23" s="1147">
        <f>IF(ISNUMBER(H23/B23),H23/B23," - ")</f>
        <v>0.2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403</v>
      </c>
      <c r="E31" s="1085">
        <f>IF(ISNUMBER(D31/B31),D31/B31," - ")</f>
        <v>100.75</v>
      </c>
      <c r="F31" s="1084">
        <f>SUBTOTAL(9,F8:F30)</f>
        <v>669</v>
      </c>
      <c r="G31" s="1085">
        <f>IF(ISNUMBER(F31/B31),F31/B31," - ")</f>
        <v>167.25</v>
      </c>
      <c r="H31" s="1084">
        <f>SUBTOTAL(9,H8:H30)</f>
        <v>461</v>
      </c>
      <c r="I31" s="1085">
        <f>IF(ISNUMBER(H31/B31),H31/B31," - ")</f>
        <v>115.25</v>
      </c>
    </row>
    <row r="34" spans="1:1">
      <c r="A34" s="439" t="str">
        <f>Criterios!A4</f>
        <v>Fecha Informe: 05 may. 2023</v>
      </c>
    </row>
    <row r="39" spans="1:1">
      <c r="A39" s="462"/>
    </row>
  </sheetData>
  <sheetProtection algorithmName="SHA-512" hashValue="aiRo5o03i14eJXZaZy0E6vKtxZvPYBnEOI/6oKa52Xfk44NO/NWfWxD3fByK2H3RF8kGxfXFNPlMXZbNyphdoA==" saltValue="tmA1g9h1v1FuUdBrGzaQ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UTRERA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236</v>
      </c>
      <c r="C12" s="489">
        <f>IF(ISNUMBER(Datos!Q12),Datos!Q12," - ")</f>
        <v>300</v>
      </c>
      <c r="D12" s="456">
        <f>IF(ISNUMBER(Datos!R12),Datos!R12," - ")</f>
        <v>4928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236</v>
      </c>
      <c r="C14" s="1150">
        <f>SUBTOTAL(9,C9:C13)</f>
        <v>300</v>
      </c>
      <c r="D14" s="1148">
        <f>SUBTOTAL(9,D9:D13)</f>
        <v>4930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19</v>
      </c>
      <c r="C17" s="489">
        <f>IF(ISNUMBER(Datos!Q17),Datos!Q17," - ")</f>
        <v>14</v>
      </c>
      <c r="D17" s="456">
        <f>IF(ISNUMBER(Datos!R17),Datos!R17," - ")</f>
        <v>213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v>
      </c>
      <c r="C23" s="1150">
        <f>SUBTOTAL(9,C16:C22)</f>
        <v>14</v>
      </c>
      <c r="D23" s="1148">
        <f>SUBTOTAL(9,D16:D22)</f>
        <v>213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255</v>
      </c>
      <c r="C31" s="1089">
        <f>SUBTOTAL(9,C8:C30)</f>
        <v>314</v>
      </c>
      <c r="D31" s="1090">
        <f>SUBTOTAL(9,D8:D30)</f>
        <v>5143</v>
      </c>
    </row>
    <row r="32" spans="1:4" ht="7.5" customHeight="1"/>
    <row r="33" spans="1:1" ht="6" customHeight="1"/>
    <row r="34" spans="1:1">
      <c r="A34" s="439" t="str">
        <f>Criterios!A4</f>
        <v>Fecha Informe: 05 may. 2023</v>
      </c>
    </row>
    <row r="39" spans="1:1">
      <c r="A39" s="462"/>
    </row>
  </sheetData>
  <sheetProtection algorithmName="SHA-512" hashValue="sg5R9sRa/j8+QAYHn7kjmcHRFsqg644U0YtHYl4uMQGwYisvmJtxPJ3xS8DAZdepQ+jtMgkRHItPMEcqEiaI0w==" saltValue="1pBY1MPbExcpOa/qMmrm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UTRERA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v>
      </c>
      <c r="D10" s="515">
        <f>IF(ISNUMBER((Datos!K10-Datos!U10)/Datos!U10),(Datos!K10-Datos!U10)/Datos!U10," - ")</f>
        <v>0</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-0.17139796464916979</v>
      </c>
      <c r="C12" s="515">
        <f>IF(ISNUMBER(
   IF(J_V="SI",(Datos!J12-Datos!T12)/Datos!T12,(Datos!J12+Datos!Z12-(Datos!T12+Datos!AH12))/(Datos!T12+Datos!AH12))
     ),IF(J_V="SI",(Datos!J12-Datos!T12)/Datos!T12,(Datos!J12+Datos!Z12-(Datos!T12+Datos!AH12))/(Datos!T12+Datos!AH12))," - ")</f>
        <v>-6.6666666666666666E-2</v>
      </c>
      <c r="D12" s="515">
        <f>IF(ISNUMBER(
   IF(J_V="SI",(Datos!K12-Datos!U12)/Datos!U12,(Datos!K12+Datos!AA12-(Datos!U12+Datos!AI12))/(Datos!U12+Datos!AI12))
     ),IF(J_V="SI",(Datos!K12-Datos!U12)/Datos!U12,(Datos!K12+Datos!AA12-(Datos!U12+Datos!AI12))/(Datos!U12+Datos!AI12))," - ")</f>
        <v>-9.4798657718120807E-2</v>
      </c>
      <c r="E12" s="515">
        <f>IF(ISNUMBER(
   IF(J_V="SI",(Datos!L12-Datos!V12)/Datos!V12,(Datos!L12+Datos!AB12-(Datos!V12+Datos!AJ12))/(Datos!V12+Datos!AJ12))
     ),IF(J_V="SI",(Datos!L12-Datos!V12)/Datos!V12,(Datos!L12+Datos!AB12-(Datos!V12+Datos!AJ12))/(Datos!V12+Datos!AJ12))," - ")</f>
        <v>-0.19155313351498637</v>
      </c>
      <c r="F12" s="515">
        <f>IF(ISNUMBER((Datos!M12-Datos!W12)/Datos!W12),(Datos!M12-Datos!W12)/Datos!W12," - ")</f>
        <v>-6.4981949458483748E-2</v>
      </c>
      <c r="G12" s="516">
        <f>IF(ISNUMBER((Datos!N12-Datos!X12)/Datos!X12),(Datos!N12-Datos!X12)/Datos!X12," - ")</f>
        <v>-0.34441805225653205</v>
      </c>
      <c r="H12" s="514">
        <f>IF(ISNUMBER(((NºAsuntos!G12/NºAsuntos!E12)-Datos!BD12)/Datos!BD12),((NºAsuntos!G12/NºAsuntos!E12)-Datos!BD12)/Datos!BD12," - ")</f>
        <v>-3.0141418983700943E-2</v>
      </c>
      <c r="I12" s="515">
        <f>IF(ISNUMBER(((NºAsuntos!I12/NºAsuntos!G12)-Datos!BE12)/Datos!BE12),((NºAsuntos!I12/NºAsuntos!G12)-Datos!BE12)/Datos!BE12," - ")</f>
        <v>-0.10688724295631498</v>
      </c>
      <c r="J12" s="521">
        <f>IF(ISNUMBER((('Resol  Asuntos'!D12/NºAsuntos!G12)-Datos!BF12)/Datos!BF12),(('Resol  Asuntos'!D12/NºAsuntos!G12)-Datos!BF12)/Datos!BF12," - ")</f>
        <v>-0.32037009723527771</v>
      </c>
      <c r="K12" s="522">
        <f>IF(ISNUMBER((((NºAsuntos!C12+NºAsuntos!E12)/NºAsuntos!G12)-Datos!BG12)/Datos!BG12),(((NºAsuntos!C12+NºAsuntos!E12)/NºAsuntos!G12)-Datos!BG12)/Datos!BG12," - ")</f>
        <v>-5.9797261600689086E-2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-0.17139796464916979</v>
      </c>
      <c r="C14" s="1152">
        <f>IF(ISNUMBER(
   IF(J_V="SI",(Datos!J14-Datos!T14)/Datos!T14,(Datos!J14+Datos!Z14-(Datos!T14+Datos!AH14))/(Datos!T14+Datos!AH14))
     ),IF(J_V="SI",(Datos!J14-Datos!T14)/Datos!T14,(Datos!J14+Datos!Z14-(Datos!T14+Datos!AH14))/(Datos!T14+Datos!AH14))," - ")</f>
        <v>-6.6601371204701276E-2</v>
      </c>
      <c r="D14" s="1152">
        <f>IF(ISNUMBER(
   IF(J_V="SI",(Datos!K14-Datos!U14)/Datos!U14,(Datos!K14+Datos!AA14-(Datos!U14+Datos!AI14))/(Datos!U14+Datos!AI14))
     ),IF(J_V="SI",(Datos!K14-Datos!U14)/Datos!U14,(Datos!K14+Datos!AA14-(Datos!U14+Datos!AI14))/(Datos!U14+Datos!AI14))," - ")</f>
        <v>-9.4719195305951381E-2</v>
      </c>
      <c r="E14" s="1152">
        <f>IF(ISNUMBER(
   IF(J_V="SI",(Datos!L14-Datos!V14)/Datos!V14,(Datos!L14+Datos!AB14-(Datos!V14+Datos!AJ14))/(Datos!V14+Datos!AJ14))
     ),IF(J_V="SI",(Datos!L14-Datos!V14)/Datos!V14,(Datos!L14+Datos!AB14-(Datos!V14+Datos!AJ14))/(Datos!V14+Datos!AJ14))," - ")</f>
        <v>-0.19155313351498637</v>
      </c>
      <c r="F14" s="1153">
        <f>IF(ISNUMBER((Datos!M14-Datos!W14)/Datos!W14),(Datos!M14-Datos!W14)/Datos!W14," - ")</f>
        <v>-6.4981949458483748E-2</v>
      </c>
      <c r="G14" s="1154">
        <f>IF(ISNUMBER((Datos!N14-Datos!X14)/Datos!X14),(Datos!N14-Datos!X14)/Datos!X14," - ")</f>
        <v>-0.34441805225653205</v>
      </c>
      <c r="H14" s="1154">
        <f>IF(ISNUMBER(((NºAsuntos!G14/NºAsuntos!E14)-Datos!BD14)/Datos!BD14),((NºAsuntos!G14/NºAsuntos!E14)-Datos!BD14)/Datos!BD14," - ")</f>
        <v>-3.0124132641528197E-2</v>
      </c>
      <c r="I14" s="1154">
        <f>IF(ISNUMBER(((NºAsuntos!I14/NºAsuntos!G14)-Datos!BE14)/Datos!BE14),((NºAsuntos!I14/NºAsuntos!G14)-Datos!BE14)/Datos!BE14," - ")</f>
        <v>-0.10696563729942481</v>
      </c>
      <c r="J14" s="1154">
        <f>IF(ISNUMBER((('Resol  Asuntos'!D14/NºAsuntos!G14)-Datos!BF14)/Datos!BF14),(('Resol  Asuntos'!D14/NºAsuntos!G14)-Datos!BF14)/Datos!BF14," - ")</f>
        <v>-0.32042975279317321</v>
      </c>
      <c r="K14" s="1154">
        <f>IF(ISNUMBER((((NºAsuntos!C14+NºAsuntos!E14)/NºAsuntos!G14)-Datos!BG14)/Datos!BG14),(((NºAsuntos!C14+NºAsuntos!E14)/NºAsuntos!G14)-Datos!BG14)/Datos!BG14," - ")</f>
        <v>-5.9845192195349964E-2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-0.11165387299371947</v>
      </c>
      <c r="C17" s="515">
        <f>IF(ISNUMBER(
   IF(D_I="SI",(Datos!J17-Datos!T17)/Datos!T17,(Datos!J17+Datos!AD17-(Datos!T17+Datos!AL17))/(Datos!T17+Datos!AL17))
     ),IF(D_I="SI",(Datos!J17-Datos!T17)/Datos!T17,(Datos!J17+Datos!AD17-(Datos!T17+Datos!AL17))/(Datos!T17+Datos!AL17))," - ")</f>
        <v>-3.7780401416765051E-2</v>
      </c>
      <c r="D17" s="515">
        <f>IF(ISNUMBER(
   IF(D_I="SI",(Datos!K17-Datos!U17)/Datos!U17,(Datos!K17+Datos!AE17-(Datos!U17+Datos!AM17))/(Datos!U17+Datos!AM17))
     ),IF(D_I="SI",(Datos!K17-Datos!U17)/Datos!U17,(Datos!K17+Datos!AE17-(Datos!U17+Datos!AM17))/(Datos!U17+Datos!AM17))," - ")</f>
        <v>-0.24256292906178489</v>
      </c>
      <c r="E17" s="515">
        <f>IF(ISNUMBER(
   IF(D_I="SI",(Datos!L17-Datos!V17)/Datos!V17,(Datos!L17+Datos!AF17-(Datos!V17+Datos!AN17))/(Datos!V17+Datos!AN17))
     ),IF(D_I="SI",(Datos!L17-Datos!V17)/Datos!V17,(Datos!L17+Datos!AF17-(Datos!V17+Datos!AN17))/(Datos!V17+Datos!AN17))," - ")</f>
        <v>0.18377483443708609</v>
      </c>
      <c r="F17" s="515">
        <f>IF(ISNUMBER((Datos!M17-Datos!W17)/Datos!W17),(Datos!M17-Datos!W17)/Datos!W17," - ")</f>
        <v>-0.2411764705882353</v>
      </c>
      <c r="G17" s="516">
        <f>IF(ISNUMBER((Datos!N17-Datos!X17)/Datos!X17),(Datos!N17-Datos!X17)/Datos!X17," - ")</f>
        <v>-0.17317073170731706</v>
      </c>
      <c r="H17" s="514">
        <f>IF(ISNUMBER(((NºAsuntos!G17/NºAsuntos!E17)-Datos!BD17)/Datos!BD17),((NºAsuntos!G17/NºAsuntos!E17)-Datos!BD17)/Datos!BD17," - ")</f>
        <v>-0.21282306860776912</v>
      </c>
      <c r="I17" s="515">
        <f>IF(ISNUMBER(((NºAsuntos!I17/NºAsuntos!G17)-Datos!BE17)/Datos!BE17),((NºAsuntos!I17/NºAsuntos!G17)-Datos!BE17)/Datos!BE17," - ")</f>
        <v>0.5628688901782678</v>
      </c>
      <c r="J17" s="521">
        <f>IF(ISNUMBER((('Resol  Asuntos'!D17/NºAsuntos!G17)-Datos!BF17)/Datos!BF17),(('Resol  Asuntos'!D17/NºAsuntos!G17)-Datos!BF17)/Datos!BF17," - ")</f>
        <v>1.8304602807889248E-3</v>
      </c>
      <c r="K17" s="522">
        <f>IF(ISNUMBER((((NºAsuntos!C17+NºAsuntos!E17)/NºAsuntos!G17)-Datos!BG17)/Datos!BG17),(((NºAsuntos!C17+NºAsuntos!E17)/NºAsuntos!G17)-Datos!BG17)/Datos!BG17," - ")</f>
        <v>0.20906344410876129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-0.79069767441860461</v>
      </c>
      <c r="C18" s="515">
        <f>IF(ISNUMBER(
   IF(D_I="SI",(Datos!J18-Datos!T18)/Datos!T18,(Datos!J18+Datos!AD18-(Datos!T18+Datos!AL18))/(Datos!T18+Datos!AL18))
     ),IF(D_I="SI",(Datos!J18-Datos!T18)/Datos!T18,(Datos!J18+Datos!AD18-(Datos!T18+Datos!AL18))/(Datos!T18+Datos!AL18))," - ")</f>
        <v>-0.25806451612903225</v>
      </c>
      <c r="D18" s="515">
        <f>IF(ISNUMBER(
   IF(D_I="SI",(Datos!K18-Datos!U18)/Datos!U18,(Datos!K18+Datos!AE18-(Datos!U18+Datos!AM18))/(Datos!U18+Datos!AM18))
     ),IF(D_I="SI",(Datos!K18-Datos!U18)/Datos!U18,(Datos!K18+Datos!AE18-(Datos!U18+Datos!AM18))/(Datos!U18+Datos!AM18))," - ")</f>
        <v>-0.22105263157894736</v>
      </c>
      <c r="E18" s="515">
        <f>IF(ISNUMBER(
   IF(D_I="SI",(Datos!L18-Datos!V18)/Datos!V18,(Datos!L18+Datos!AF18-(Datos!V18+Datos!AN18))/(Datos!V18+Datos!AN18))
     ),IF(D_I="SI",(Datos!L18-Datos!V18)/Datos!V18,(Datos!L18+Datos!AF18-(Datos!V18+Datos!AN18))/(Datos!V18+Datos!AN18))," - ")</f>
        <v>-0.90243902439024393</v>
      </c>
      <c r="F18" s="515">
        <f>IF(ISNUMBER((Datos!M18-Datos!W18)/Datos!W18),(Datos!M18-Datos!W18)/Datos!W18," - ")</f>
        <v>-0.65116279069767447</v>
      </c>
      <c r="G18" s="516">
        <f>IF(ISNUMBER((Datos!N18-Datos!X18)/Datos!X18),(Datos!N18-Datos!X18)/Datos!X18," - ")</f>
        <v>0.22727272727272727</v>
      </c>
      <c r="H18" s="514">
        <f>IF(ISNUMBER(((NºAsuntos!G18/NºAsuntos!E18)-Datos!BD18)/Datos!BD18),((NºAsuntos!G18/NºAsuntos!E18)-Datos!BD18)/Datos!BD18," - ")</f>
        <v>4.9885583524027576E-2</v>
      </c>
      <c r="I18" s="515">
        <f>IF(ISNUMBER(((NºAsuntos!I18/NºAsuntos!G18)-Datos!BE18)/Datos!BE18),((NºAsuntos!I18/NºAsuntos!G18)-Datos!BE18)/Datos!BE18," - ")</f>
        <v>-0.87475280158206992</v>
      </c>
      <c r="J18" s="521">
        <f>IF(ISNUMBER((('Resol  Asuntos'!D18/NºAsuntos!G18)-Datos!BF18)/Datos!BF18),(('Resol  Asuntos'!D18/NºAsuntos!G18)-Datos!BF18)/Datos!BF18," - ")</f>
        <v>-0.55216844751728467</v>
      </c>
      <c r="K18" s="522">
        <f>IF(ISNUMBER((((NºAsuntos!C18+NºAsuntos!E18)/NºAsuntos!G18)-Datos!BG18)/Datos!BG18),(((NºAsuntos!C18+NºAsuntos!E18)/NºAsuntos!G18)-Datos!BG18)/Datos!BG18," - ")</f>
        <v>-0.26371224165341822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-0.13143631436314362</v>
      </c>
      <c r="C23" s="1152">
        <f>IF(ISNUMBER(
   IF(Criterios!B14="SI",(Datos!J23-Datos!T23)/Datos!T23,(Datos!J23+Datos!AD23-(Datos!T23+Datos!AL23))/(Datos!T23+Datos!AL23))
     ),IF(Criterios!B14="SI",(Datos!J23-Datos!T23)/Datos!T23,(Datos!J23+Datos!AD23-(Datos!T23+Datos!AL23))/(Datos!T23+Datos!AL23))," - ")</f>
        <v>-5.9574468085106386E-2</v>
      </c>
      <c r="D23" s="1152">
        <f>IF(ISNUMBER(
   IF(Criterios!B14="SI",(Datos!K23-Datos!U23)/Datos!U23,(Datos!K23+Datos!AE23-(Datos!U23+Datos!AM23))/(Datos!U23+Datos!AM23))
     ),IF(Criterios!B14="SI",(Datos!K23-Datos!U23)/Datos!U23,(Datos!K23+Datos!AE23-(Datos!U23+Datos!AM23))/(Datos!U23+Datos!AM23))," - ")</f>
        <v>-0.24045407636738905</v>
      </c>
      <c r="E23" s="1152">
        <f>IF(ISNUMBER(
   IF(Criterios!B14="SI",(Datos!L23-Datos!V23)/Datos!V23,(Datos!L23+Datos!AF23-(Datos!V23+Datos!AN23))/(Datos!V23+Datos!AN23))
     ),IF(Criterios!B14="SI",(Datos!L23-Datos!V23)/Datos!V23,(Datos!L23+Datos!AF23-(Datos!V23+Datos!AN23))/(Datos!V23+Datos!AN23))," - ")</f>
        <v>0.14811849479583666</v>
      </c>
      <c r="F23" s="1153">
        <f>IF(ISNUMBER((Datos!M23-Datos!W23)/Datos!W23),(Datos!M23-Datos!W23)/Datos!W23," - ")</f>
        <v>-0.323943661971831</v>
      </c>
      <c r="G23" s="1154">
        <f>IF(ISNUMBER((Datos!N23-Datos!X23)/Datos!X23),(Datos!N23-Datos!X23)/Datos!X23," - ")</f>
        <v>-0.1343612334801762</v>
      </c>
      <c r="H23" s="1154">
        <f>IF(ISNUMBER(((NºAsuntos!G23/NºAsuntos!E23)-Datos!BD23)/Datos!BD23),((NºAsuntos!G23/NºAsuntos!E23)-Datos!BD23)/Datos!BD23," - ")</f>
        <v>-0.19233804500604712</v>
      </c>
      <c r="I23" s="1154">
        <f>IF(ISNUMBER(((NºAsuntos!I23/NºAsuntos!G23)-Datos!BE23)/Datos!BE23),((NºAsuntos!I23/NºAsuntos!G23)-Datos!BE23)/Datos!BE23," - ")</f>
        <v>0.51158535524071447</v>
      </c>
      <c r="J23" s="1154">
        <f>IF(ISNUMBER((('Resol  Asuntos'!D23/NºAsuntos!G23)-Datos!BF23)/Datos!BF23),(('Resol  Asuntos'!D23/NºAsuntos!G23)-Datos!BF23)/Datos!BF23," - ")</f>
        <v>-0.10992039191671771</v>
      </c>
      <c r="K23" s="1154">
        <f>IF(ISNUMBER((((NºAsuntos!C23+NºAsuntos!E23)/NºAsuntos!G23)-Datos!BG23)/Datos!BG23),(((NºAsuntos!C23+NºAsuntos!E23)/NºAsuntos!G23)-Datos!BG23)/Datos!BG23," - ")</f>
        <v>0.18034097862078896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-0.1600767754318618</v>
      </c>
      <c r="C31" s="1092">
        <f>IF(ISNUMBER(
   IF(J_V="SI",(Datos!J31-Datos!T31)/Datos!T31,(Datos!J31+Datos!Z31-(Datos!T31+Datos!AH31))/(Datos!T31+Datos!AH31))
     ),IF(J_V="SI",(Datos!J31-Datos!T31)/Datos!T31,(Datos!J31+Datos!Z31-(Datos!T31+Datos!AH31))/(Datos!T31+Datos!AH31))," - ")</f>
        <v>-6.3233044365119839E-2</v>
      </c>
      <c r="D31" s="1092">
        <f>IF(ISNUMBER(
   IF(J_V="SI",(Datos!K31-Datos!U31)/Datos!U31,(Datos!K31+Datos!AA31-(Datos!U31+Datos!AI31))/(Datos!U31+Datos!AI31))
     ),IF(J_V="SI",(Datos!K31-Datos!U31)/Datos!U31,(Datos!K31+Datos!AA31-(Datos!U31+Datos!AI31))/(Datos!U31+Datos!AI31))," - ")</f>
        <v>-0.16003700277520813</v>
      </c>
      <c r="E31" s="1092">
        <f>IF(ISNUMBER(
   IF(J_V="SI",(Datos!L31-Datos!V31)/Datos!V31,(Datos!L31+Datos!AB31-(Datos!V31+Datos!AJ31))/(Datos!V31+Datos!AJ31))
     ),IF(J_V="SI",(Datos!L31-Datos!V31)/Datos!V31,(Datos!L31+Datos!AB31-(Datos!V31+Datos!AJ31))/(Datos!V31+Datos!AJ31))," - ")</f>
        <v>-0.10530595649522261</v>
      </c>
      <c r="F31" s="1093">
        <f>IF(ISNUMBER((Datos!M31-Datos!W31)/Datos!W31),(Datos!M31-Datos!W31)/Datos!W31," - ")</f>
        <v>-0.17755102040816326</v>
      </c>
      <c r="G31" s="1094">
        <f>IF(ISNUMBER((Datos!N31-Datos!X31)/Datos!X31),(Datos!N31-Datos!X31)/Datos!X31," - ")</f>
        <v>-0.23542857142857143</v>
      </c>
      <c r="H31" s="1095">
        <f>IF(ISNUMBER((Tasas!B31-Datos!BD31)/Datos!BD31),(Tasas!B31-Datos!BD31)/Datos!BD31," - ")</f>
        <v>-0.1033383573446832</v>
      </c>
      <c r="I31" s="1096">
        <f>IF(ISNUMBER((Tasas!C31-Datos!BE31)/Datos!BE31),(Tasas!C31-Datos!BE31)/Datos!BE31," - ")</f>
        <v>6.5158877784872615E-2</v>
      </c>
      <c r="J31" s="1097">
        <f>IF(ISNUMBER((Tasas!D31-Datos!BF31)/Datos!BF31),(Tasas!D31-Datos!BF31)/Datos!BF31," - ")</f>
        <v>-0.24324441695965757</v>
      </c>
      <c r="K31" s="1097">
        <f>IF(ISNUMBER((Tasas!E31-Datos!BG31)/Datos!BG31),(Tasas!E31-Datos!BG31)/Datos!BG31," - ")</f>
        <v>3.1481579317576752E-2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t1s4in8agqf3nbkTmqyDfqVEJO5l1RhUVcGgtJGoOEZYVvlUJ+i+9u506kCrAPw0hcKanEMe5YqwBIImiFKQ==" saltValue="5jHbn6EWdVM2OjhcvbWiS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UTRERA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v>
      </c>
      <c r="D10" s="499">
        <f>IF(ISNUMBER('Resol  Asuntos'!D10/NºAsuntos!G10),'Resol  Asuntos'!D10/NºAsuntos!G10," - ")</f>
        <v>0</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1.1334033613445378</v>
      </c>
      <c r="C12" s="498">
        <f>IF(ISNUMBER(NºAsuntos!I12/NºAsuntos!G12),NºAsuntos!I12/NºAsuntos!G12," - ")</f>
        <v>2.7497683039851712</v>
      </c>
      <c r="D12" s="499">
        <f>IF(ISNUMBER('Resol  Asuntos'!D12/NºAsuntos!G12),'Resol  Asuntos'!D12/NºAsuntos!G12," - ")</f>
        <v>0.24003707136237257</v>
      </c>
      <c r="E12" s="500">
        <f>IF(ISNUMBER((NºAsuntos!C12+NºAsuntos!E12)/NºAsuntos!G12),(NºAsuntos!C12+NºAsuntos!E12)/NºAsuntos!G12," - ")</f>
        <v>3.7497683039851712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1.1332633788037776</v>
      </c>
      <c r="C14" s="1156">
        <f>IF(ISNUMBER(NºAsuntos!I14/NºAsuntos!G14),NºAsuntos!I14/NºAsuntos!G14," - ")</f>
        <v>2.7472222222222222</v>
      </c>
      <c r="D14" s="1157">
        <f>IF(ISNUMBER('Resol  Asuntos'!D14/NºAsuntos!G14),'Resol  Asuntos'!D14/NºAsuntos!G14," - ")</f>
        <v>0.23981481481481481</v>
      </c>
      <c r="E14" s="1158">
        <f>IF(ISNUMBER((NºAsuntos!C14+NºAsuntos!E14)/NºAsuntos!G14),(NºAsuntos!C14+NºAsuntos!E14)/NºAsuntos!G14," - ")</f>
        <v>3.7472222222222222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0.81226993865030672</v>
      </c>
      <c r="C17" s="498">
        <f>IF(ISNUMBER(NºAsuntos!I17/NºAsuntos!G17),NºAsuntos!I17/NºAsuntos!G17," - ")</f>
        <v>2.1601208459214503</v>
      </c>
      <c r="D17" s="499">
        <f>IF(ISNUMBER('Resol  Asuntos'!D17/NºAsuntos!G17),'Resol  Asuntos'!D17/NºAsuntos!G17," - ")</f>
        <v>0.19486404833836857</v>
      </c>
      <c r="E17" s="500">
        <f>IF(ISNUMBER((NºAsuntos!C17+NºAsuntos!E17)/NºAsuntos!G17),(NºAsuntos!C17+NºAsuntos!E17)/NºAsuntos!G17," - ")</f>
        <v>3.1540785498489425</v>
      </c>
      <c r="G17" s="523"/>
    </row>
    <row r="18" spans="1:7">
      <c r="A18" s="450" t="str">
        <f>Datos!A18</f>
        <v>Jdos. Violencia contra la mujer</v>
      </c>
      <c r="B18" s="497">
        <f>IF(ISNUMBER(NºAsuntos!G18/NºAsuntos!E18),NºAsuntos!G18/NºAsuntos!E18," - ")</f>
        <v>1.0724637681159421</v>
      </c>
      <c r="C18" s="498">
        <f>IF(ISNUMBER(NºAsuntos!I18/NºAsuntos!G18),NºAsuntos!I18/NºAsuntos!G18," - ")</f>
        <v>5.4054054054054057E-2</v>
      </c>
      <c r="D18" s="499">
        <f>IF(ISNUMBER('Resol  Asuntos'!D18/NºAsuntos!G18),'Resol  Asuntos'!D18/NºAsuntos!G18," - ")</f>
        <v>0.20270270270270271</v>
      </c>
      <c r="E18" s="500">
        <f>IF(ISNUMBER((NºAsuntos!C18+NºAsuntos!E18)/NºAsuntos!G18),(NºAsuntos!C18+NºAsuntos!E18)/NºAsuntos!G18," - ")</f>
        <v>1.0540540540540539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0.83257918552036203</v>
      </c>
      <c r="C23" s="1156">
        <f>IF(ISNUMBER(NºAsuntos!I23/NºAsuntos!G23),NºAsuntos!I23/NºAsuntos!G23," - ")</f>
        <v>1.9483695652173914</v>
      </c>
      <c r="D23" s="1159">
        <f>IF(ISNUMBER('Resol  Asuntos'!D23/NºAsuntos!G23),'Resol  Asuntos'!D23/NºAsuntos!G23," - ")</f>
        <v>0.19565217391304349</v>
      </c>
      <c r="E23" s="1158">
        <f>IF(ISNUMBER((NºAsuntos!C23+NºAsuntos!E23)/NºAsuntos!G23),(NºAsuntos!C23+NºAsuntos!E23)/NºAsuntos!G23," - ")</f>
        <v>2.9429347826086958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0.98856831790963529</v>
      </c>
      <c r="C31" s="1099">
        <f>IF(ISNUMBER(NºAsuntos!I31/NºAsuntos!G31),NºAsuntos!I31/NºAsuntos!G31," - ")</f>
        <v>2.4234581497797358</v>
      </c>
      <c r="D31" s="1100">
        <f>IF(ISNUMBER('Resol  Asuntos'!D31/NºAsuntos!G31),'Resol  Asuntos'!D31/NºAsuntos!G31," - ")</f>
        <v>0.22191629955947137</v>
      </c>
      <c r="E31" s="1101">
        <f>IF(ISNUMBER((NºAsuntos!C31+NºAsuntos!E31)/NºAsuntos!G31),(NºAsuntos!C31+NºAsuntos!E31)/NºAsuntos!G31," - ")</f>
        <v>3.4212555066079293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5NzfQgjltdJfriAL4IA9GJxHBQKj5F46Bcz4FPHAi0EQ2nYRDuSTHIC6Zm7Nxq3TU8LF8Yq/YzPRLklN8e+d8Q==" saltValue="apS5DILX/JaYj7VaI/U71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UTRERA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0</v>
      </c>
      <c r="AB10" s="374">
        <f>IF(ISNUMBER(Datos!R10),Datos!R10," - ")</f>
        <v>2</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0</v>
      </c>
      <c r="AN10" s="267">
        <f>IF(ISNUMBER('Resol  Asuntos'!D10/NºAsuntos!G10),'Resol  Asuntos'!D10/NºAsuntos!G10," - ")</f>
        <v>0</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300</v>
      </c>
      <c r="Y12" s="374">
        <f t="shared" si="0"/>
        <v>300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4928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259</v>
      </c>
      <c r="AJ12" s="243" t="str">
        <f>IF(ISNUMBER(Datos!BW12),Datos!BW12," - ")</f>
        <v xml:space="preserve"> - </v>
      </c>
      <c r="AK12" s="242" t="str">
        <f>IF(ISNUMBER(Datos!BX12),Datos!BX12," - ")</f>
        <v xml:space="preserve"> - </v>
      </c>
      <c r="AL12" s="266">
        <f>IF(ISNUMBER(NºAsuntos!G12/NºAsuntos!E12),NºAsuntos!G12/NºAsuntos!E12," - ")</f>
        <v>1.1334033613445378</v>
      </c>
      <c r="AM12" s="284">
        <f>IF(ISNUMBER(((NºAsuntos!I12/NºAsuntos!G12)*11)/factor_trimestre),((NºAsuntos!I12/NºAsuntos!G12)*11)/factor_trimestre," - ")</f>
        <v>8.2493049119555142</v>
      </c>
      <c r="AN12" s="267">
        <f>IF(ISNUMBER('Resol  Asuntos'!D12/NºAsuntos!G12),'Resol  Asuntos'!D12/NºAsuntos!G12," - ")</f>
        <v>0.24003707136237257</v>
      </c>
      <c r="AO12" s="268">
        <f>IF(ISNUMBER((NºAsuntos!C12+NºAsuntos!E12)/NºAsuntos!G12),(NºAsuntos!C12+NºAsuntos!E12)/NºAsuntos!G12," - ")</f>
        <v>3.7497683039851712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0</v>
      </c>
      <c r="G14" s="1163">
        <f t="shared" si="5"/>
        <v>0</v>
      </c>
      <c r="H14" s="1162">
        <f t="shared" si="5"/>
        <v>0</v>
      </c>
      <c r="I14" s="1164">
        <f t="shared" si="5"/>
        <v>0</v>
      </c>
      <c r="J14" s="1164">
        <f t="shared" si="5"/>
        <v>0</v>
      </c>
      <c r="K14" s="1164">
        <f t="shared" si="5"/>
        <v>0</v>
      </c>
      <c r="L14" s="1164">
        <f t="shared" si="5"/>
        <v>236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300</v>
      </c>
      <c r="Y14" s="1165">
        <f t="shared" si="6"/>
        <v>301</v>
      </c>
      <c r="Z14" s="1165">
        <f t="shared" si="6"/>
        <v>0</v>
      </c>
      <c r="AA14" s="1165">
        <f t="shared" si="6"/>
        <v>0</v>
      </c>
      <c r="AB14" s="1165">
        <f t="shared" si="6"/>
        <v>4930</v>
      </c>
      <c r="AC14" s="1165">
        <f t="shared" si="6"/>
        <v>2</v>
      </c>
      <c r="AD14" s="1165">
        <f t="shared" si="6"/>
        <v>0</v>
      </c>
      <c r="AE14" s="1169">
        <f t="shared" si="6"/>
        <v>0</v>
      </c>
      <c r="AF14" s="1162">
        <f t="shared" si="6"/>
        <v>0</v>
      </c>
      <c r="AG14" s="1170">
        <f t="shared" si="6"/>
        <v>0</v>
      </c>
      <c r="AH14" s="1167">
        <f t="shared" si="6"/>
        <v>0</v>
      </c>
      <c r="AI14" s="1162">
        <f t="shared" si="6"/>
        <v>259</v>
      </c>
      <c r="AJ14" s="1164">
        <f t="shared" si="6"/>
        <v>0</v>
      </c>
      <c r="AK14" s="1167">
        <f>SUBTOTAL(9,AK9:AK13)</f>
        <v>0</v>
      </c>
      <c r="AL14" s="1171">
        <f>IF(ISNUMBER(NºAsuntos!G14/NºAsuntos!E14),NºAsuntos!G14/NºAsuntos!E14," - ")</f>
        <v>1.1332633788037776</v>
      </c>
      <c r="AM14" s="1171">
        <f>IF(ISNUMBER(((NºAsuntos!I14/NºAsuntos!G14)*11)/factor_trimestre),((NºAsuntos!I14/NºAsuntos!G14)*11)/factor_trimestre," - ")</f>
        <v>8.2416666666666671</v>
      </c>
      <c r="AN14" s="1172">
        <f>IF(ISNUMBER('Resol  Asuntos'!D14/NºAsuntos!G14),'Resol  Asuntos'!D14/NºAsuntos!G14," - ")</f>
        <v>0.23981481481481481</v>
      </c>
      <c r="AO14" s="1173">
        <f>IF(ISNUMBER((NºAsuntos!C14+NºAsuntos!E14)/NºAsuntos!G14),(NºAsuntos!C14+NºAsuntos!E14)/NºAsuntos!G14," - ")</f>
        <v>3.7472222222222222</v>
      </c>
      <c r="AP14" s="1174" t="str">
        <f t="shared" si="2"/>
        <v xml:space="preserve"> - </v>
      </c>
      <c r="AQ14" s="1174" t="str">
        <f>IF(ISNUMBER((H14-W14+K14)/(F14)),(H14-W14+K14)/(F14)," - ")</f>
        <v xml:space="preserve"> - </v>
      </c>
      <c r="AR14" s="1175">
        <f>IF(ISNUMBER((Datos!P14-Datos!Q14)/(Datos!R14-Datos!P14+Datos!Q14)),(Datos!P14-Datos!Q14)/(Datos!R14-Datos!P14+Datos!Q14)," - ")</f>
        <v>-1.2815378454144974E-2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1277</v>
      </c>
      <c r="G17" s="373">
        <f>IF(ISNUMBER(IF(D_I="SI",Datos!I17,Datos!I17+Datos!AC17)),IF(D_I="SI",Datos!I17,Datos!I17+Datos!AC17)," - ")</f>
        <v>1273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662</v>
      </c>
      <c r="X17" s="240">
        <f>IF(ISNUMBER(Datos!Q17),Datos!Q17," - ")</f>
        <v>14</v>
      </c>
      <c r="Y17" s="374">
        <f t="shared" ref="Y17:Y22" si="9">SUM(W17:X17)</f>
        <v>676</v>
      </c>
      <c r="Z17" s="375" t="str">
        <f>IF(ISNUMBER(Datos!CC17),Datos!CC17," - ")</f>
        <v xml:space="preserve"> - </v>
      </c>
      <c r="AA17" s="372">
        <f>IF(ISNUMBER(IF(D_I="SI",Datos!L17,Datos!L17+Datos!AF17)),IF(D_I="SI",Datos!L17,Datos!L17+Datos!AF17)," - ")</f>
        <v>1430</v>
      </c>
      <c r="AB17" s="374">
        <f>IF(ISNUMBER(Datos!R17),Datos!R17," - ")</f>
        <v>213</v>
      </c>
      <c r="AC17" s="374">
        <f t="shared" si="8"/>
        <v>1643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129</v>
      </c>
      <c r="AJ17" s="245" t="str">
        <f>IF(ISNUMBER(Datos!BW17),Datos!BW17," - ")</f>
        <v xml:space="preserve"> - </v>
      </c>
      <c r="AK17" s="246" t="str">
        <f>IF(ISNUMBER(Datos!BX17),Datos!BX17," - ")</f>
        <v xml:space="preserve"> - </v>
      </c>
      <c r="AL17" s="266">
        <f>IF(ISNUMBER(NºAsuntos!G17/NºAsuntos!E17),NºAsuntos!G17/NºAsuntos!E17," - ")</f>
        <v>0.81226993865030672</v>
      </c>
      <c r="AM17" s="284">
        <f>IF(ISNUMBER(((NºAsuntos!I17/NºAsuntos!G17)*11)/factor_trimestre),((NºAsuntos!I17/NºAsuntos!G17)*11)/factor_trimestre," - ")</f>
        <v>6.4803625377643508</v>
      </c>
      <c r="AN17" s="267">
        <f>IF(ISNUMBER('Resol  Asuntos'!D17/NºAsuntos!G17),'Resol  Asuntos'!D17/NºAsuntos!G17," - ")</f>
        <v>0.19486404833836857</v>
      </c>
      <c r="AO17" s="268">
        <f>IF(ISNUMBER((NºAsuntos!C17+NºAsuntos!E17)/NºAsuntos!G17),(NºAsuntos!C17+NºAsuntos!E17)/NºAsuntos!G17," - ")</f>
        <v>3.1540785498489425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74</v>
      </c>
      <c r="X18" s="240">
        <f>IF(ISNUMBER(Datos!Q18),Datos!Q18," - ")</f>
        <v>0</v>
      </c>
      <c r="Y18" s="374">
        <f t="shared" si="9"/>
        <v>74</v>
      </c>
      <c r="Z18" s="375" t="str">
        <f>IF(ISNUMBER(Datos!CC18),Datos!CC18," - ")</f>
        <v xml:space="preserve"> - </v>
      </c>
      <c r="AA18" s="372">
        <f>IF(ISNUMBER(Datos!L18),Datos!L18,"-")</f>
        <v>4</v>
      </c>
      <c r="AB18" s="374">
        <f>IF(ISNUMBER(Datos!R18),Datos!R18," - ")</f>
        <v>0</v>
      </c>
      <c r="AC18" s="374">
        <f t="shared" si="8"/>
        <v>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1.0724637681159421</v>
      </c>
      <c r="AM18" s="284">
        <f>IF(ISNUMBER(((NºAsuntos!I18/NºAsuntos!G18)*11)/factor_trimestre),((NºAsuntos!I18/NºAsuntos!G18)*11)/factor_trimestre," - ")</f>
        <v>0.16216216216216217</v>
      </c>
      <c r="AN18" s="267">
        <f>IF(ISNUMBER('Resol  Asuntos'!D18/NºAsuntos!G18),'Resol  Asuntos'!D18/NºAsuntos!G18," - ")</f>
        <v>0.20270270270270271</v>
      </c>
      <c r="AO18" s="268">
        <f>IF(ISNUMBER((NºAsuntos!C18+NºAsuntos!E18)/NºAsuntos!G18),(NºAsuntos!C18+NºAsuntos!E18)/NºAsuntos!G18," - ")</f>
        <v>1.0540540540540539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1277</v>
      </c>
      <c r="G23" s="1163">
        <f>SUBTOTAL(9,G16:G22)</f>
        <v>1282</v>
      </c>
      <c r="H23" s="1162">
        <f t="shared" ref="H23:O23" si="13">SUBTOTAL(9,H15:H22)</f>
        <v>0</v>
      </c>
      <c r="I23" s="1164">
        <f t="shared" si="13"/>
        <v>0</v>
      </c>
      <c r="J23" s="1164">
        <f t="shared" si="13"/>
        <v>0</v>
      </c>
      <c r="K23" s="1164">
        <f t="shared" si="13"/>
        <v>0</v>
      </c>
      <c r="L23" s="1164">
        <f t="shared" si="13"/>
        <v>19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736</v>
      </c>
      <c r="X23" s="1164">
        <f t="shared" si="14"/>
        <v>14</v>
      </c>
      <c r="Y23" s="1165">
        <f t="shared" si="14"/>
        <v>750</v>
      </c>
      <c r="Z23" s="1165">
        <f t="shared" si="14"/>
        <v>0</v>
      </c>
      <c r="AA23" s="1165">
        <f t="shared" si="14"/>
        <v>1434</v>
      </c>
      <c r="AB23" s="1165">
        <f t="shared" si="14"/>
        <v>213</v>
      </c>
      <c r="AC23" s="1165">
        <f t="shared" si="14"/>
        <v>1647</v>
      </c>
      <c r="AD23" s="1165">
        <f t="shared" si="14"/>
        <v>0</v>
      </c>
      <c r="AE23" s="1169">
        <f t="shared" si="14"/>
        <v>0</v>
      </c>
      <c r="AF23" s="1162">
        <f t="shared" si="14"/>
        <v>0</v>
      </c>
      <c r="AG23" s="1170">
        <f t="shared" si="14"/>
        <v>0</v>
      </c>
      <c r="AH23" s="1167">
        <f t="shared" si="14"/>
        <v>0</v>
      </c>
      <c r="AI23" s="1162">
        <f t="shared" si="14"/>
        <v>144</v>
      </c>
      <c r="AJ23" s="1164">
        <f t="shared" si="14"/>
        <v>0</v>
      </c>
      <c r="AK23" s="1167">
        <f t="shared" si="14"/>
        <v>0</v>
      </c>
      <c r="AL23" s="1171">
        <f>IF(ISNUMBER(NºAsuntos!G23/NºAsuntos!E23),NºAsuntos!G23/NºAsuntos!E23," - ")</f>
        <v>0.83257918552036203</v>
      </c>
      <c r="AM23" s="1171">
        <f>IF(ISNUMBER(((NºAsuntos!I23/NºAsuntos!G23)*11)/factor_trimestre),((NºAsuntos!I23/NºAsuntos!G23)*11)/factor_trimestre," - ")</f>
        <v>5.8451086956521738</v>
      </c>
      <c r="AN23" s="1172">
        <f>IF(ISNUMBER('Resol  Asuntos'!D23/NºAsuntos!G23),'Resol  Asuntos'!D23/NºAsuntos!G23," - ")</f>
        <v>0.19565217391304349</v>
      </c>
      <c r="AO23" s="1173">
        <f>IF(ISNUMBER((NºAsuntos!C23+NºAsuntos!E23)/NºAsuntos!G23),(NºAsuntos!C23+NºAsuntos!E23)/NºAsuntos!G23," - ")</f>
        <v>2.9429347826086958</v>
      </c>
      <c r="AP23" s="1174" t="str">
        <f t="shared" si="2"/>
        <v xml:space="preserve"> - </v>
      </c>
      <c r="AQ23" s="1174">
        <f>IF(ISNUMBER((H23-W23+K23)/(F23)),(H23-W23+K23)/(F23)," - ")</f>
        <v>-0.57635082223962408</v>
      </c>
      <c r="AR23" s="1175">
        <f>IF(ISNUMBER((Datos!P23-Datos!Q23)/(Datos!R23-Datos!P23+Datos!Q23)),(Datos!P23-Datos!Q23)/(Datos!R23-Datos!P23+Datos!Q23)," - ")</f>
        <v>2.403846153846154E-2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1277</v>
      </c>
      <c r="G31" s="1118">
        <f t="shared" si="20"/>
        <v>1282</v>
      </c>
      <c r="H31" s="1117">
        <f t="shared" si="20"/>
        <v>0</v>
      </c>
      <c r="I31" s="1119">
        <f t="shared" si="20"/>
        <v>0</v>
      </c>
      <c r="J31" s="1119">
        <f t="shared" si="20"/>
        <v>0</v>
      </c>
      <c r="K31" s="1180">
        <f t="shared" si="20"/>
        <v>0</v>
      </c>
      <c r="L31" s="1119">
        <f t="shared" si="20"/>
        <v>255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737</v>
      </c>
      <c r="X31" s="1118">
        <f t="shared" si="21"/>
        <v>314</v>
      </c>
      <c r="Y31" s="1125">
        <f t="shared" si="21"/>
        <v>1051</v>
      </c>
      <c r="Z31" s="1125">
        <f t="shared" si="21"/>
        <v>0</v>
      </c>
      <c r="AA31" s="1125">
        <f t="shared" si="21"/>
        <v>1434</v>
      </c>
      <c r="AB31" s="1125">
        <f t="shared" si="21"/>
        <v>5143</v>
      </c>
      <c r="AC31" s="1125">
        <f t="shared" si="21"/>
        <v>1649</v>
      </c>
      <c r="AD31" s="1125">
        <f t="shared" si="21"/>
        <v>0</v>
      </c>
      <c r="AE31" s="1127">
        <f t="shared" si="21"/>
        <v>0</v>
      </c>
      <c r="AF31" s="1128">
        <f t="shared" si="21"/>
        <v>0</v>
      </c>
      <c r="AG31" s="1129">
        <f t="shared" si="21"/>
        <v>0</v>
      </c>
      <c r="AH31" s="1127">
        <f t="shared" si="21"/>
        <v>0</v>
      </c>
      <c r="AI31" s="1117">
        <f t="shared" si="21"/>
        <v>403</v>
      </c>
      <c r="AJ31" s="1117">
        <f t="shared" si="21"/>
        <v>0</v>
      </c>
      <c r="AK31" s="1127">
        <f t="shared" si="21"/>
        <v>0</v>
      </c>
      <c r="AL31" s="1183">
        <f>IF(ISNUMBER(NºAsuntos!G31/NºAsuntos!E31),NºAsuntos!G31/NºAsuntos!E31," - ")</f>
        <v>0.98856831790963529</v>
      </c>
      <c r="AM31" s="1184">
        <f>IF(ISNUMBER(((NºAsuntos!I31/NºAsuntos!G31)*11)/factor_trimestre),((NºAsuntos!I31/NºAsuntos!G31)*11)/factor_trimestre," - ")</f>
        <v>7.270374449339208</v>
      </c>
      <c r="AN31" s="1184">
        <f>IF(ISNUMBER('Resol  Asuntos'!D31/NºAsuntos!G31),'Resol  Asuntos'!D31/NºAsuntos!G31," - ")</f>
        <v>0.22191629955947137</v>
      </c>
      <c r="AO31" s="1185">
        <f>IF(ISNUMBER((NºAsuntos!C31+NºAsuntos!E31)/NºAsuntos!G31),(NºAsuntos!C31+NºAsuntos!E31)/NºAsuntos!G31," - ")</f>
        <v>3.4212555066079293</v>
      </c>
      <c r="AP31" s="1186" t="str">
        <f t="shared" si="2"/>
        <v xml:space="preserve"> - </v>
      </c>
      <c r="AQ31" s="1187">
        <f>IF(OR(ISNUMBER(FIND("01",Criterios!A8,1)),ISNUMBER(FIND("02",Criterios!A8,1)),ISNUMBER(FIND("03",Criterios!A8,1)),ISNUMBER(FIND("04",Criterios!A8,1))),(I31-W31+K31)/(F31-K31),(H31-W31+K31)/(F31-K31))</f>
        <v>-0.57713390759592798</v>
      </c>
      <c r="AR31" s="1188">
        <f>IF(ISNUMBER((Datos!P31-Datos!Q31)/(Datos!R31-Datos!P31+Datos!Q31)),(Datos!P31-Datos!Q31)/(Datos!R31-Datos!P31+Datos!Q31)," - ")</f>
        <v>-1.1341791618608228E-2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366.28571428571428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659.4399644142494</v>
      </c>
      <c r="G33" s="277">
        <f>IF(ISNUMBER(STDEV(G8:G30)),STDEV(G8:G30),"-")</f>
        <v>622.49195825748473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335.41906979322505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113.74124770096128</v>
      </c>
      <c r="AJ33" s="276">
        <f t="shared" si="25"/>
        <v>0</v>
      </c>
      <c r="AK33" s="278">
        <f t="shared" si="25"/>
        <v>0</v>
      </c>
      <c r="AL33" s="273">
        <f t="shared" si="25"/>
        <v>0.14424708824121657</v>
      </c>
      <c r="AM33" s="274">
        <f t="shared" si="25"/>
        <v>3.8000754584985117</v>
      </c>
      <c r="AN33" s="274">
        <f t="shared" si="25"/>
        <v>9.0061759836149807E-2</v>
      </c>
      <c r="AO33" s="275">
        <f t="shared" si="25"/>
        <v>1.2658797119125687</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SHRb2Ioi58guko5LgwiMg9Jm2MyBcnv79eImkgPZ13yKkR4xgI4vN2fFI9GSQfKCZvXpI1aF2a/w8GXdr7bVNw==" saltValue="NDiM6UIjr6jeqjfBfyxJ6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UTRERA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v>
      </c>
      <c r="F10" s="393">
        <f>IF(ISNUMBER((Datos!K10-Datos!U10)/Datos!U10),(Datos!K10-Datos!U10)/Datos!U10," - ")</f>
        <v>0</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-6.4981949458483748E-2</v>
      </c>
      <c r="I12" s="395">
        <f>IF(ISNUMBER((Tasas!C12-Datos!BE12)/Datos!BE12),(Tasas!C12-Datos!BE12)/Datos!BE12," - ")</f>
        <v>-0.10688724295631498</v>
      </c>
      <c r="J12" s="394">
        <f>IF(ISNUMBER((Tasas!D12-Datos!BF12)/Datos!BF12),(Tasas!D12-Datos!BF12)/Datos!BF12," - ")</f>
        <v>-0.32037009723527771</v>
      </c>
      <c r="K12" s="396">
        <f>IF(ISNUMBER((Tasas!E12-Datos!BG12)/Datos!BG12),(Tasas!E12-Datos!BG12)/Datos!BG12," - ")</f>
        <v>-5.9797261600689086E-2</v>
      </c>
      <c r="M12" t="e">
        <f>IF(Monitorios="SI",Datos!CE12,0)</f>
        <v>#REF!</v>
      </c>
      <c r="N12" t="e">
        <f>IF(Monitorios="SI",Datos!CF12,0)</f>
        <v>#REF!</v>
      </c>
      <c r="O12" t="e">
        <f>IF(Monitorios="SI",Datos!CG12,0)</f>
        <v>#REF!</v>
      </c>
      <c r="P12" t="e">
        <f>IF(Monitorios="SI",Datos!CH12,0)</f>
        <v>#REF!</v>
      </c>
      <c r="Q12">
        <f>IF(J_V="SI",0,Datos!AG12)</f>
        <v>119</v>
      </c>
      <c r="R12">
        <f>IF(J_V="SI",0,Datos!AH12)</f>
        <v>86</v>
      </c>
      <c r="S12">
        <f>IF(J_V="SI",0,Datos!AI12)</f>
        <v>93</v>
      </c>
      <c r="T12">
        <f>IF(J_V="SI",0,Datos!AJ12)</f>
        <v>112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-6.4981949458483748E-2</v>
      </c>
      <c r="I14" s="402">
        <f>IF(ISNUMBER((Tasas!C14-Datos!BE14)/Datos!BE14),(Tasas!C14-Datos!BE14)/Datos!BE14," - ")</f>
        <v>-0.10696563729942481</v>
      </c>
      <c r="J14" s="400">
        <f>IF(ISNUMBER((Tasas!D14-Datos!BF14)/Datos!BF14),(Tasas!D14-Datos!BF14)/Datos!BF14," - ")</f>
        <v>-0.32042975279317321</v>
      </c>
      <c r="K14" s="403">
        <f>IF(ISNUMBER((Tasas!E14-Datos!BG14)/Datos!BG14),(Tasas!E14-Datos!BG14)/Datos!BG14," - ")</f>
        <v>-5.9845192195349964E-2</v>
      </c>
      <c r="M14" t="e">
        <f>IF(Monitorios="SI",Datos!CE14,0)</f>
        <v>#REF!</v>
      </c>
      <c r="N14" t="e">
        <f>IF(Monitorios="SI",Datos!CF14,0)</f>
        <v>#REF!</v>
      </c>
      <c r="O14" t="e">
        <f>IF(Monitorios="SI",Datos!CG14,0)</f>
        <v>#REF!</v>
      </c>
      <c r="P14" t="e">
        <f>IF(Monitorios="SI",Datos!CH14,0)</f>
        <v>#REF!</v>
      </c>
      <c r="Q14">
        <f>IF(J_V="SI",0,Datos!AG14)</f>
        <v>119</v>
      </c>
      <c r="R14">
        <f>IF(J_V="SI",0,Datos!AH14)</f>
        <v>86</v>
      </c>
      <c r="S14">
        <f>IF(J_V="SI",0,Datos!AI14)</f>
        <v>93</v>
      </c>
      <c r="T14">
        <f>IF(J_V="SI",0,Datos!AJ14)</f>
        <v>112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-0.11165387299371947</v>
      </c>
      <c r="E17" s="393">
        <f>IF(ISNUMBER(
   IF(D_I="SI",(Datos!J17-Datos!T17)/Datos!T17,(Datos!J17+Datos!AD17-(Datos!T17+Datos!AL17))/(Datos!T17+Datos!AL17))
     ),IF(D_I="SI",(Datos!J17-Datos!T17)/Datos!T17,(Datos!J17+Datos!AD17-(Datos!T17+Datos!AL17))/(Datos!T17+Datos!AL17))," - ")</f>
        <v>-3.7780401416765051E-2</v>
      </c>
      <c r="F17" s="393">
        <f>IF(ISNUMBER(
   IF(D_I="SI",(Datos!K17-Datos!U17)/Datos!U17,(Datos!K17+Datos!AE17-(Datos!U17+Datos!AM17))/(Datos!U17+Datos!AM17))
     ),IF(D_I="SI",(Datos!K17-Datos!U17)/Datos!U17,(Datos!K17+Datos!AE17-(Datos!U17+Datos!AM17))/(Datos!U17+Datos!AM17))," - ")</f>
        <v>-0.24256292906178489</v>
      </c>
      <c r="G17" s="394">
        <f>IF(ISNUMBER(
   IF(D_I="SI",(Datos!L17-Datos!V17)/Datos!V17,(Datos!L17+Datos!AF17-(Datos!V17+Datos!AN17))/(Datos!V17+Datos!AN17))
     ),IF(D_I="SI",(Datos!L17-Datos!V17)/Datos!V17,(Datos!L17+Datos!AF17-(Datos!V17+Datos!AN17))/(Datos!V17+Datos!AN17))," - ")</f>
        <v>0.18377483443708609</v>
      </c>
      <c r="H17" s="244">
        <f>IF(ISNUMBER((Datos!M17-Datos!W17)/Datos!W17),(Datos!M17-Datos!W17)/Datos!W17," - ")</f>
        <v>-0.2411764705882353</v>
      </c>
      <c r="I17" s="395">
        <f>IF(ISNUMBER((Tasas!C17-Datos!BE17)/Datos!BE17),(Tasas!C17-Datos!BE17)/Datos!BE17," - ")</f>
        <v>0.5628688901782678</v>
      </c>
      <c r="J17" s="394">
        <f>IF(ISNUMBER((Tasas!D17-Datos!BF17)/Datos!BF17),(Tasas!D17-Datos!BF17)/Datos!BF17," - ")</f>
        <v>1.8304602807889248E-3</v>
      </c>
      <c r="K17" s="396">
        <f>IF(ISNUMBER((Tasas!E17-Datos!BG17)/Datos!BG17),(Tasas!E17-Datos!BG17)/Datos!BG17," - ")</f>
        <v>0.20906344410876129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-0.79069767441860461</v>
      </c>
      <c r="E18" s="393">
        <f>IF(ISNUMBER(
   IF(D_I="SI",(Datos!J18-Datos!T18)/Datos!T18,(Datos!J18+Datos!AD18-(Datos!T18+Datos!AL18))/(Datos!T18+Datos!AL18))
     ),IF(D_I="SI",(Datos!J18-Datos!T18)/Datos!T18,(Datos!J18+Datos!AD18-(Datos!T18+Datos!AL18))/(Datos!T18+Datos!AL18))," - ")</f>
        <v>-0.25806451612903225</v>
      </c>
      <c r="F18" s="393">
        <f>IF(ISNUMBER(
   IF(D_I="SI",(Datos!K18-Datos!U18)/Datos!U18,(Datos!K18+Datos!AE18-(Datos!U18+Datos!AM18))/(Datos!U18+Datos!AM18))
     ),IF(D_I="SI",(Datos!K18-Datos!U18)/Datos!U18,(Datos!K18+Datos!AE18-(Datos!U18+Datos!AM18))/(Datos!U18+Datos!AM18))," - ")</f>
        <v>-0.22105263157894736</v>
      </c>
      <c r="G18" s="394">
        <f>IF(ISNUMBER(
   IF(D_I="SI",(Datos!L18-Datos!V18)/Datos!V18,(Datos!L18+Datos!AF18-(Datos!V18+Datos!AN18))/(Datos!V18+Datos!AN18))
     ),IF(D_I="SI",(Datos!L18-Datos!V18)/Datos!V18,(Datos!L18+Datos!AF18-(Datos!V18+Datos!AN18))/(Datos!V18+Datos!AN18))," - ")</f>
        <v>-0.90243902439024393</v>
      </c>
      <c r="H18" s="244">
        <f>IF(ISNUMBER((Datos!M18-Datos!W18)/Datos!W18),(Datos!M18-Datos!W18)/Datos!W18," - ")</f>
        <v>-0.65116279069767447</v>
      </c>
      <c r="I18" s="395">
        <f>IF(ISNUMBER((Tasas!C18-Datos!BE18)/Datos!BE18),(Tasas!C18-Datos!BE18)/Datos!BE18," - ")</f>
        <v>-0.87475280158206992</v>
      </c>
      <c r="J18" s="394">
        <f>IF(ISNUMBER((Tasas!D18-Datos!BF18)/Datos!BF18),(Tasas!D18-Datos!BF18)/Datos!BF18," - ")</f>
        <v>-0.55216844751728467</v>
      </c>
      <c r="K18" s="396">
        <f>IF(ISNUMBER((Tasas!E18-Datos!BG18)/Datos!BG18),(Tasas!E18-Datos!BG18)/Datos!BG18," - ")</f>
        <v>-0.26371224165341822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-0.13143631436314362</v>
      </c>
      <c r="E23" s="399">
        <f>IF(ISNUMBER(
   IF(D_I="SI",(Datos!J23-Datos!T23)/Datos!T23,(Datos!J23+Datos!AD23-(Datos!T23+Datos!AL23))/(Datos!T23+Datos!AL23))
     ),IF(D_I="SI",(Datos!J23-Datos!T23)/Datos!T23,(Datos!J23+Datos!AD23-(Datos!T23+Datos!AL23))/(Datos!T23+Datos!AL23))," - ")</f>
        <v>-5.9574468085106386E-2</v>
      </c>
      <c r="F23" s="399">
        <f>IF(ISNUMBER(
   IF(D_I="SI",(Datos!K23-Datos!U23)/Datos!U23,(Datos!K23+Datos!AE23-(Datos!U23+Datos!AM23))/(Datos!U23+Datos!AM23))
     ),IF(D_I="SI",(Datos!K23-Datos!U23)/Datos!U23,(Datos!K23+Datos!AE23-(Datos!U23+Datos!AM23))/(Datos!U23+Datos!AM23))," - ")</f>
        <v>-0.24045407636738905</v>
      </c>
      <c r="G23" s="400">
        <f>IF(ISNUMBER(
   IF(D_I="SI",(Datos!L23-Datos!V23)/Datos!V23,(Datos!L23+Datos!AF23-(Datos!V23+Datos!AN23))/(Datos!V23+Datos!AN23))
     ),IF(D_I="SI",(Datos!L23-Datos!V23)/Datos!V23,(Datos!L23+Datos!AF23-(Datos!V23+Datos!AN23))/(Datos!V23+Datos!AN23))," - ")</f>
        <v>0.14811849479583666</v>
      </c>
      <c r="H23" s="401">
        <f>IF(ISNUMBER((Datos!M23-Datos!W23)/Datos!W23),(Datos!M23-Datos!W23)/Datos!W23," - ")</f>
        <v>-0.323943661971831</v>
      </c>
      <c r="I23" s="402">
        <f>IF(ISNUMBER((Tasas!C23-Datos!BE23)/Datos!BE23),(Tasas!C23-Datos!BE23)/Datos!BE23," - ")</f>
        <v>0.51158535524071447</v>
      </c>
      <c r="J23" s="400">
        <f>IF(ISNUMBER((Tasas!D23-Datos!BF23)/Datos!BF23),(Tasas!D23-Datos!BF23)/Datos!BF23," - ")</f>
        <v>-0.10992039191671771</v>
      </c>
      <c r="K23" s="403">
        <f>IF(ISNUMBER((Tasas!E23-Datos!BG23)/Datos!BG23),(Tasas!E23-Datos!BG23)/Datos!BG23," - ")</f>
        <v>0.18034097862078896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-0.1600767754318618</v>
      </c>
      <c r="E31" s="409">
        <f>IF(ISNUMBER(
   IF(J_V="SI",(Datos!J31-Datos!T31)/Datos!T31,(Datos!J31+Datos!Z31-(Datos!T31+Datos!AH31))/(Datos!T31+Datos!AH31))
     ),IF(J_V="SI",(Datos!J31-Datos!T31)/Datos!T31,(Datos!J31+Datos!Z31-(Datos!T31+Datos!AH31))/(Datos!T31+Datos!AH31))," - ")</f>
        <v>-6.3233044365119839E-2</v>
      </c>
      <c r="F31" s="409">
        <f>IF(ISNUMBER(
   IF(J_V="SI",(Datos!K31-Datos!U31)/Datos!U31,(Datos!K31+Datos!AA31-(Datos!U31+Datos!AI31))/(Datos!U31+Datos!AI31))
     ),IF(J_V="SI",(Datos!K31-Datos!U31)/Datos!U31,(Datos!K31+Datos!AA31-(Datos!U31+Datos!AI31))/(Datos!U31+Datos!AI31))," - ")</f>
        <v>-0.16003700277520813</v>
      </c>
      <c r="G31" s="410">
        <f>IF(ISNUMBER(
   IF(J_V="SI",(Datos!L31-Datos!V31)/Datos!V31,(Datos!L31+Datos!AB31-(Datos!V31+Datos!AJ31))/(Datos!V31+Datos!AJ31))
     ),IF(J_V="SI",(Datos!L31-Datos!V31)/Datos!V31,(Datos!L31+Datos!AB31-(Datos!V31+Datos!AJ31))/(Datos!V31+Datos!AJ31))," - ")</f>
        <v>-0.10530595649522261</v>
      </c>
      <c r="H31" s="411">
        <f>IF(ISNUMBER((Datos!M31-Datos!W31)/Datos!W31),(Datos!M31-Datos!W31)/Datos!W31," - ")</f>
        <v>-0.17755102040816326</v>
      </c>
      <c r="I31" s="408">
        <f>IF(ISNUMBER((Tasas!C31-Datos!BE31)/Datos!BE31),(Tasas!C31-Datos!BE31)/Datos!BE31," - ")</f>
        <v>6.5158877784872615E-2</v>
      </c>
      <c r="J31" s="409">
        <f>IF(ISNUMBER((Tasas!D31-Datos!BF31)/Datos!BF31),(Tasas!D31-Datos!BF31)/Datos!BF31," - ")</f>
        <v>-0.24324441695965757</v>
      </c>
      <c r="K31" s="410">
        <f>IF(ISNUMBER((Tasas!E31-Datos!BG31)/Datos!BG31),(Tasas!E31-Datos!BG31)/Datos!BG31," - ")</f>
        <v>3.1481579317576752E-2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0.38646202273579872</v>
      </c>
      <c r="E33" s="303">
        <f t="shared" si="1"/>
        <v>0.11546000107278789</v>
      </c>
      <c r="F33" s="303">
        <f t="shared" si="1"/>
        <v>0.11774363377768041</v>
      </c>
      <c r="G33" s="304">
        <f t="shared" si="1"/>
        <v>0.61709035302560344</v>
      </c>
      <c r="H33" s="310">
        <f t="shared" si="1"/>
        <v>0.24139582243384572</v>
      </c>
      <c r="I33" s="302">
        <f t="shared" si="1"/>
        <v>0.58449976577028973</v>
      </c>
      <c r="J33" s="303">
        <f t="shared" si="1"/>
        <v>0.21432309728012428</v>
      </c>
      <c r="K33" s="304">
        <f t="shared" si="1"/>
        <v>0.17488601904528422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g10QVhXufBqjCvu4FWiTYmKU3UmqhEHec3yHJ+PwAHE6QFhhfstjOl+4HDHyfdVJRICbvDr3BiDzm0wCDXQQA==" saltValue="AWsgBMFp998A7kWqG3zwO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